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gali.harinaik\Downloads\UCC28950\sluc222d\"/>
    </mc:Choice>
  </mc:AlternateContent>
  <bookViews>
    <workbookView xWindow="0" yWindow="0" windowWidth="20490" windowHeight="7530" tabRatio="806" activeTab="3"/>
  </bookViews>
  <sheets>
    <sheet name="Instructions" sheetId="2" r:id="rId1"/>
    <sheet name="Functional Schematic" sheetId="7" r:id="rId2"/>
    <sheet name="Design Information" sheetId="1" r:id="rId3"/>
    <sheet name="Figure of T1 Current" sheetId="8" r:id="rId4"/>
    <sheet name="TABSET Valley Switching" sheetId="9" r:id="rId5"/>
    <sheet name="TCDSET Valley Switching" sheetId="10" r:id="rId6"/>
    <sheet name="Voltage Loop" sheetId="6" state="hidden" r:id="rId7"/>
    <sheet name="Standard R and C Look Up Table" sheetId="3" state="hidden" r:id="rId8"/>
  </sheets>
  <externalReferences>
    <externalReference r:id="rId9"/>
  </externalReferences>
  <definedNames>
    <definedName name="_imp2">'Design Information'!$C$40</definedName>
    <definedName name="_ims2">'Design Information'!$C$32</definedName>
    <definedName name="_ipp1">'Design Information'!$C$112</definedName>
    <definedName name="_st1">'Design Information'!#REF!</definedName>
    <definedName name="_st10">'Standard R and C Look Up Table'!#REF!</definedName>
    <definedName name="_st11">'Standard R and C Look Up Table'!#REF!</definedName>
    <definedName name="_st12">'Standard R and C Look Up Table'!#REF!</definedName>
    <definedName name="_st13">'Standard R and C Look Up Table'!#REF!</definedName>
    <definedName name="_st14">'Standard R and C Look Up Table'!#REF!</definedName>
    <definedName name="_st15">'Standard R and C Look Up Table'!#REF!</definedName>
    <definedName name="_st16">'Standard R and C Look Up Table'!#REF!</definedName>
    <definedName name="_st17">'Standard R and C Look Up Table'!#REF!</definedName>
    <definedName name="_st18">'Standard R and C Look Up Table'!#REF!</definedName>
    <definedName name="_st2">'Design Information'!#REF!</definedName>
    <definedName name="_st3">'Standard R and C Look Up Table'!#REF!</definedName>
    <definedName name="_st4">'Standard R and C Look Up Table'!#REF!</definedName>
    <definedName name="_st5">'Standard R and C Look Up Table'!#REF!</definedName>
    <definedName name="_st6">'Standard R and C Look Up Table'!#REF!</definedName>
    <definedName name="_st7">'Standard R and C Look Up Table'!#REF!</definedName>
    <definedName name="_st8">'Standard R and C Look Up Table'!#REF!</definedName>
    <definedName name="_st9">'Standard R and C Look Up Table'!#REF!</definedName>
    <definedName name="_std2">'Design Information'!#REF!</definedName>
    <definedName name="_ta1">'Design Information'!$C$25</definedName>
    <definedName name="_ta11">'Design Information'!$C$25</definedName>
    <definedName name="_ta2">'Design Information'!$C$111</definedName>
    <definedName name="_taa1">'Design Information'!$C$26</definedName>
    <definedName name="_va1">'Design Information'!$C$120</definedName>
    <definedName name="C_enter">'Standard R and C Look Up Table'!$K$2</definedName>
    <definedName name="C_f1">'Standard R and C Look Up Table'!$K$17</definedName>
    <definedName name="C_f2">'Standard R and C Look Up Table'!$K$24</definedName>
    <definedName name="c_s1">'Standard R and C Look Up Table'!$J$6</definedName>
    <definedName name="C_s2">'Standard R and C Look Up Table'!$J$19</definedName>
    <definedName name="Center">'Standard R and C Look Up Table'!$K$2</definedName>
    <definedName name="constant">'Design Information'!$C$132</definedName>
    <definedName name="cossqaavg">'Design Information'!$C$56</definedName>
    <definedName name="cossqaspec">'Design Information'!$C$53</definedName>
    <definedName name="cossqeavg">'Design Information'!$C$90</definedName>
    <definedName name="cout">'Design Information'!$C$80</definedName>
    <definedName name="Cp">'Design Information'!$C$151</definedName>
    <definedName name="CPC">'[1]Design Information'!$C$87</definedName>
    <definedName name="Cstandard">'Standard R and C Look Up Table'!$K$3</definedName>
    <definedName name="Cz">'Design Information'!$C$146</definedName>
    <definedName name="CZC">'[1]Design Information'!$C$85</definedName>
    <definedName name="d2a">'Design Information'!$C$135</definedName>
    <definedName name="dclamp">'Design Information'!$C$102</definedName>
    <definedName name="dcrlout">'Design Information'!$C$69</definedName>
    <definedName name="dcrp">'Design Information'!$C$45</definedName>
    <definedName name="dcrs">'Design Information'!$C$46</definedName>
    <definedName name="dilmag">'Design Information'!$C$37</definedName>
    <definedName name="dilout">'Design Information'!$C$28</definedName>
    <definedName name="dmax">'Design Information'!$C$24</definedName>
    <definedName name="dtyp">'Design Information'!$C$27</definedName>
    <definedName name="E12_f">'Standard R and C Look Up Table'!$F$21</definedName>
    <definedName name="E12_s">'Standard R and C Look Up Table'!$E$10</definedName>
    <definedName name="E24_f">'Standard R and C Look Up Table'!$F$46</definedName>
    <definedName name="E24_s">'Standard R and C Look Up Table'!$E$23</definedName>
    <definedName name="E48_f">'Standard R and C Look Up Table'!$F$95</definedName>
    <definedName name="E48_s">'Standard R and C Look Up Table'!$E$48</definedName>
    <definedName name="E6_f">'Standard R and C Look Up Table'!$F$8</definedName>
    <definedName name="E6_s">'Standard R and C Look Up Table'!$E$3</definedName>
    <definedName name="E96_f">'Standard R and C Look Up Table'!$H$98</definedName>
    <definedName name="E96_s">'Standard R and C Look Up Table'!$G$3</definedName>
    <definedName name="Eff">'Design Information'!$B$17</definedName>
    <definedName name="esrcout">'Design Information'!$C$81</definedName>
    <definedName name="fc">'Design Information'!$C$130</definedName>
    <definedName name="fpp">'Design Information'!$C$129</definedName>
    <definedName name="fs">'Design Information'!$C$18</definedName>
    <definedName name="iloutrms">'Design Information'!$C$67</definedName>
    <definedName name="imp">'Design Information'!$C$39</definedName>
    <definedName name="ims">'Design Information'!$C$31</definedName>
    <definedName name="ipp">'Design Information'!$C$38</definedName>
    <definedName name="iprms">'Design Information'!$C$43</definedName>
    <definedName name="iprms1">'Design Information'!$C$41</definedName>
    <definedName name="iprms2">'Design Information'!$C$42</definedName>
    <definedName name="ips">'Design Information'!$C$30</definedName>
    <definedName name="isrms">'Design Information'!$C$36</definedName>
    <definedName name="isrms1">'Design Information'!$C$33</definedName>
    <definedName name="isrms2">'Design Information'!$C$34</definedName>
    <definedName name="isrms3">'Design Information'!$C$35</definedName>
    <definedName name="LAVG">'[1]Design Information'!$C$29</definedName>
    <definedName name="llk">'Design Information'!$C$47</definedName>
    <definedName name="lmag">'Design Information'!$C$29</definedName>
    <definedName name="lmag1">'Design Information'!$C$29</definedName>
    <definedName name="lmag2">'Design Information'!$C$44</definedName>
    <definedName name="lout">'Design Information'!$C$68</definedName>
    <definedName name="ls">'Design Information'!$C$61</definedName>
    <definedName name="n1divd1">'Design Information'!$C$134</definedName>
    <definedName name="NCT">'[1]Design Information'!$C$40</definedName>
    <definedName name="pbudget">'Design Information'!$C$22</definedName>
    <definedName name="pout">'Design Information'!$D$16</definedName>
    <definedName name="QAg">'Design Information'!$C$54</definedName>
    <definedName name="qeg">'Design Information'!$C$86</definedName>
    <definedName name="rdsonqa">'Design Information'!$C$52</definedName>
    <definedName name="rdsonqe">'Design Information'!$C$87</definedName>
    <definedName name="rf">'Design Information'!$C$141</definedName>
    <definedName name="RII">'Design Information'!$C$128</definedName>
    <definedName name="rload">'Design Information'!$C$131</definedName>
    <definedName name="RS">'Design Information'!$C$115</definedName>
    <definedName name="RZC">'[1]Design Information'!$C$83</definedName>
    <definedName name="sta">'Standard R and C Look Up Table'!$L$6</definedName>
    <definedName name="stb">'Standard R and C Look Up Table'!$L$19</definedName>
    <definedName name="std">'Design Information'!#REF!</definedName>
    <definedName name="tabset">'Design Information'!$C$182</definedName>
    <definedName name="tafset">'Design Information'!$C$200</definedName>
    <definedName name="tcdset">'Design Information'!$C$194</definedName>
    <definedName name="tdelay">'Design Information'!$C$100</definedName>
    <definedName name="temp">#REF!</definedName>
    <definedName name="thu">'Design Information'!$C$73</definedName>
    <definedName name="tr">'Design Information'!$C$95</definedName>
    <definedName name="vadel">'Design Information'!$C$188</definedName>
    <definedName name="vdsqe">'Design Information'!$C$85</definedName>
    <definedName name="vg">'Design Information'!$C$51</definedName>
    <definedName name="vin">'Design Information'!$C$13</definedName>
    <definedName name="vinerror">'Design Information'!#REF!</definedName>
    <definedName name="VINMAX">'Design Information'!$D$13</definedName>
    <definedName name="VINMIAX">'Design Information'!$D$13</definedName>
    <definedName name="VINMIN">'Design Information'!$B$13</definedName>
    <definedName name="VOUT">'Design Information'!$C$14</definedName>
    <definedName name="voutmin">'Design Information'!$B$14</definedName>
    <definedName name="vrdson">'Design Information'!$C$23</definedName>
    <definedName name="Vslope1">'Design Information'!$C$221</definedName>
    <definedName name="Vslope2">'Design Information'!$C$222</definedName>
    <definedName name="VTRAN">'Design Information'!$D$15</definedName>
  </definedNames>
  <calcPr calcId="162913"/>
</workbook>
</file>

<file path=xl/calcChain.xml><?xml version="1.0" encoding="utf-8"?>
<calcChain xmlns="http://schemas.openxmlformats.org/spreadsheetml/2006/main">
  <c r="C25" i="1" l="1"/>
  <c r="C27" i="1"/>
  <c r="C220" i="1" s="1"/>
  <c r="C85" i="1"/>
  <c r="C90" i="1" s="1"/>
  <c r="C74" i="1"/>
  <c r="D27" i="1"/>
  <c r="C28" i="1"/>
  <c r="C112" i="1" s="1"/>
  <c r="C113" i="1" s="1"/>
  <c r="C114" i="1" s="1"/>
  <c r="C221" i="1"/>
  <c r="C206" i="1"/>
  <c r="C207" i="1" s="1"/>
  <c r="C208" i="1" s="1"/>
  <c r="C202" i="1"/>
  <c r="C203" i="1" s="1"/>
  <c r="C204" i="1" s="1"/>
  <c r="C184" i="1"/>
  <c r="C185" i="1" s="1"/>
  <c r="C186" i="1" s="1"/>
  <c r="C56" i="1"/>
  <c r="C99" i="1" s="1"/>
  <c r="C100" i="1" s="1"/>
  <c r="C188" i="1"/>
  <c r="C195" i="1" s="1"/>
  <c r="C196" i="1" s="1"/>
  <c r="F18" i="1"/>
  <c r="F13" i="1"/>
  <c r="C22" i="1"/>
  <c r="C81" i="1"/>
  <c r="C95" i="1"/>
  <c r="F17" i="1"/>
  <c r="E121" i="1"/>
  <c r="E120" i="1"/>
  <c r="C199" i="1"/>
  <c r="F14" i="1"/>
  <c r="C101" i="1"/>
  <c r="E104" i="1"/>
  <c r="C4" i="3"/>
  <c r="C216" i="1"/>
  <c r="C217" i="1" s="1"/>
  <c r="C131" i="1"/>
  <c r="C80" i="1"/>
  <c r="C129" i="1"/>
  <c r="E2" i="6" s="1"/>
  <c r="E3" i="6"/>
  <c r="I3" i="6"/>
  <c r="J3" i="6"/>
  <c r="I2" i="6"/>
  <c r="J2" i="6"/>
  <c r="R2" i="6"/>
  <c r="C130" i="1"/>
  <c r="A2" i="6"/>
  <c r="A3" i="6" s="1"/>
  <c r="A4" i="6"/>
  <c r="B4" i="6" s="1"/>
  <c r="I4" i="6" s="1"/>
  <c r="C7" i="3"/>
  <c r="C212" i="1"/>
  <c r="C213" i="1" s="1"/>
  <c r="C175" i="1"/>
  <c r="C178" i="1" s="1"/>
  <c r="C147" i="1"/>
  <c r="C149" i="1" s="1"/>
  <c r="L6" i="3"/>
  <c r="K3" i="3" s="1"/>
  <c r="L19" i="3"/>
  <c r="C5" i="3"/>
  <c r="C8" i="3"/>
  <c r="C126" i="1"/>
  <c r="C127" i="1" s="1"/>
  <c r="C122" i="1"/>
  <c r="C123" i="1" s="1"/>
  <c r="C118" i="1"/>
  <c r="C6" i="3"/>
  <c r="C73" i="1"/>
  <c r="C75" i="1" s="1"/>
  <c r="A5" i="6"/>
  <c r="E4" i="6"/>
  <c r="C67" i="1"/>
  <c r="C70" i="1" s="1"/>
  <c r="C66" i="1"/>
  <c r="E68" i="1" s="1"/>
  <c r="C35" i="1"/>
  <c r="C75" i="6"/>
  <c r="C35" i="6"/>
  <c r="C73" i="6"/>
  <c r="C51" i="6"/>
  <c r="C177" i="1" l="1"/>
  <c r="C176" i="1" s="1"/>
  <c r="K3" i="6"/>
  <c r="K2" i="6"/>
  <c r="D2" i="6"/>
  <c r="F2" i="6" s="1"/>
  <c r="C133" i="1"/>
  <c r="C134" i="1"/>
  <c r="C181" i="1"/>
  <c r="C193" i="1"/>
  <c r="C102" i="1"/>
  <c r="C103" i="1" s="1"/>
  <c r="C104" i="1" s="1"/>
  <c r="C32" i="6"/>
  <c r="C97" i="6"/>
  <c r="C70" i="6"/>
  <c r="C53" i="6"/>
  <c r="C26" i="6"/>
  <c r="C83" i="6"/>
  <c r="C30" i="1"/>
  <c r="C25" i="6"/>
  <c r="C60" i="6"/>
  <c r="C31" i="1"/>
  <c r="C44" i="6"/>
  <c r="D4" i="6"/>
  <c r="F4" i="6" s="1"/>
  <c r="C76" i="1"/>
  <c r="C82" i="1" s="1"/>
  <c r="C29" i="1"/>
  <c r="C37" i="1" s="1"/>
  <c r="C39" i="1" s="1"/>
  <c r="C86" i="6"/>
  <c r="C67" i="6"/>
  <c r="C57" i="6"/>
  <c r="C63" i="6"/>
  <c r="C20" i="6"/>
  <c r="C132" i="1"/>
  <c r="D3" i="6"/>
  <c r="F3" i="6" s="1"/>
  <c r="C222" i="1"/>
  <c r="C223" i="1" s="1"/>
  <c r="C224" i="1" s="1"/>
  <c r="C225" i="1" s="1"/>
  <c r="C17" i="6"/>
  <c r="C30" i="6"/>
  <c r="C71" i="6"/>
  <c r="C5" i="6"/>
  <c r="C68" i="6"/>
  <c r="C29" i="6"/>
  <c r="C78" i="6"/>
  <c r="C82" i="6"/>
  <c r="C87" i="6"/>
  <c r="C48" i="6"/>
  <c r="C54" i="6"/>
  <c r="C24" i="6"/>
  <c r="C90" i="6"/>
  <c r="C13" i="6"/>
  <c r="C61" i="6"/>
  <c r="C2" i="6"/>
  <c r="C81" i="6"/>
  <c r="C36" i="6"/>
  <c r="C89" i="6"/>
  <c r="C27" i="6"/>
  <c r="C85" i="6"/>
  <c r="C10" i="6"/>
  <c r="C76" i="6"/>
  <c r="C39" i="6"/>
  <c r="C228" i="1"/>
  <c r="C230" i="1" s="1"/>
  <c r="C231" i="1" s="1"/>
  <c r="C99" i="6"/>
  <c r="C55" i="6"/>
  <c r="C40" i="6"/>
  <c r="C19" i="6"/>
  <c r="C95" i="6"/>
  <c r="C94" i="6"/>
  <c r="C23" i="6"/>
  <c r="C43" i="6"/>
  <c r="C14" i="6"/>
  <c r="C77" i="6"/>
  <c r="C12" i="6"/>
  <c r="C101" i="6"/>
  <c r="C38" i="6"/>
  <c r="C98" i="6"/>
  <c r="C28" i="6"/>
  <c r="C59" i="6"/>
  <c r="C21" i="6"/>
  <c r="C16" i="6"/>
  <c r="C50" i="6"/>
  <c r="C31" i="6"/>
  <c r="C11" i="6"/>
  <c r="C93" i="6"/>
  <c r="C65" i="6"/>
  <c r="C84" i="6"/>
  <c r="C100" i="6"/>
  <c r="C6" i="6"/>
  <c r="C58" i="6"/>
  <c r="C62" i="6"/>
  <c r="C8" i="6"/>
  <c r="C56" i="6"/>
  <c r="C74" i="6"/>
  <c r="C45" i="6"/>
  <c r="C4" i="6"/>
  <c r="C91" i="6"/>
  <c r="C7" i="6"/>
  <c r="C52" i="6"/>
  <c r="C3" i="6"/>
  <c r="C64" i="6"/>
  <c r="C37" i="6"/>
  <c r="C42" i="6"/>
  <c r="C18" i="6"/>
  <c r="C69" i="6"/>
  <c r="C33" i="6"/>
  <c r="C49" i="6"/>
  <c r="C47" i="6"/>
  <c r="C72" i="6"/>
  <c r="C22" i="6"/>
  <c r="C15" i="6"/>
  <c r="C92" i="6"/>
  <c r="C41" i="6"/>
  <c r="C88" i="6"/>
  <c r="C46" i="6"/>
  <c r="C9" i="6"/>
  <c r="C79" i="6"/>
  <c r="C34" i="6"/>
  <c r="C96" i="6"/>
  <c r="C80" i="6"/>
  <c r="C38" i="1"/>
  <c r="A6" i="6"/>
  <c r="B5" i="6"/>
  <c r="C148" i="1"/>
  <c r="C150" i="1"/>
  <c r="J4" i="6"/>
  <c r="K4" i="6" s="1"/>
  <c r="C135" i="1"/>
  <c r="C142" i="1"/>
  <c r="C189" i="1"/>
  <c r="C190" i="1" s="1"/>
  <c r="C66" i="6"/>
  <c r="C136" i="1" l="1"/>
  <c r="C137" i="1" s="1"/>
  <c r="C138" i="1" s="1"/>
  <c r="C139" i="1" s="1"/>
  <c r="C140" i="1" s="1"/>
  <c r="G2" i="6"/>
  <c r="L2" i="6" s="1"/>
  <c r="C117" i="1"/>
  <c r="E44" i="1"/>
  <c r="C33" i="1"/>
  <c r="G4" i="6"/>
  <c r="H4" i="6" s="1"/>
  <c r="C32" i="1"/>
  <c r="C34" i="1"/>
  <c r="G3" i="6"/>
  <c r="L3" i="6" s="1"/>
  <c r="I5" i="6"/>
  <c r="E5" i="6"/>
  <c r="J5" i="6"/>
  <c r="D5" i="6"/>
  <c r="C60" i="1"/>
  <c r="E60" i="1" s="1"/>
  <c r="C40" i="1"/>
  <c r="C42" i="1" s="1"/>
  <c r="C41" i="1"/>
  <c r="A7" i="6"/>
  <c r="B6" i="6"/>
  <c r="C144" i="1"/>
  <c r="C143" i="1" s="1"/>
  <c r="C145" i="1"/>
  <c r="H3" i="6" l="1"/>
  <c r="H2" i="6"/>
  <c r="K5" i="6"/>
  <c r="L4" i="6"/>
  <c r="N4" i="6" s="1"/>
  <c r="O4" i="6" s="1"/>
  <c r="C36" i="1"/>
  <c r="M2" i="6"/>
  <c r="N2" i="6"/>
  <c r="O2" i="6" s="1"/>
  <c r="N3" i="6"/>
  <c r="O3" i="6" s="1"/>
  <c r="M3" i="6"/>
  <c r="F5" i="6"/>
  <c r="G5" i="6" s="1"/>
  <c r="I6" i="6"/>
  <c r="D6" i="6"/>
  <c r="J6" i="6"/>
  <c r="E6" i="6"/>
  <c r="B7" i="6"/>
  <c r="A8" i="6"/>
  <c r="C105" i="1"/>
  <c r="C108" i="1" s="1"/>
  <c r="C116" i="1"/>
  <c r="C43" i="1"/>
  <c r="K6" i="6" l="1"/>
  <c r="C91" i="1"/>
  <c r="C96" i="1"/>
  <c r="M4" i="6"/>
  <c r="A9" i="6"/>
  <c r="B8" i="6"/>
  <c r="E7" i="6"/>
  <c r="I7" i="6"/>
  <c r="J7" i="6"/>
  <c r="D7" i="6"/>
  <c r="F6" i="6"/>
  <c r="G6" i="6" s="1"/>
  <c r="C63" i="1"/>
  <c r="C57" i="1"/>
  <c r="C48" i="1"/>
  <c r="C49" i="1" s="1"/>
  <c r="L5" i="6"/>
  <c r="H5" i="6"/>
  <c r="F7" i="6" l="1"/>
  <c r="G7" i="6" s="1"/>
  <c r="H7" i="6" s="1"/>
  <c r="L6" i="6"/>
  <c r="H6" i="6"/>
  <c r="M5" i="6"/>
  <c r="N5" i="6"/>
  <c r="O5" i="6" s="1"/>
  <c r="K7" i="6"/>
  <c r="E49" i="1"/>
  <c r="C58" i="1"/>
  <c r="I8" i="6"/>
  <c r="E8" i="6"/>
  <c r="J8" i="6"/>
  <c r="D8" i="6"/>
  <c r="F8" i="6" s="1"/>
  <c r="G8" i="6" s="1"/>
  <c r="A10" i="6"/>
  <c r="B9" i="6"/>
  <c r="L7" i="6" l="1"/>
  <c r="N7" i="6" s="1"/>
  <c r="O7" i="6" s="1"/>
  <c r="H8" i="6"/>
  <c r="M6" i="6"/>
  <c r="N6" i="6"/>
  <c r="O6" i="6" s="1"/>
  <c r="K8" i="6"/>
  <c r="L8" i="6" s="1"/>
  <c r="I9" i="6"/>
  <c r="J9" i="6"/>
  <c r="D9" i="6"/>
  <c r="F9" i="6" s="1"/>
  <c r="G9" i="6" s="1"/>
  <c r="E9" i="6"/>
  <c r="A11" i="6"/>
  <c r="B10" i="6"/>
  <c r="E58" i="1"/>
  <c r="C64" i="1"/>
  <c r="K9" i="6" l="1"/>
  <c r="L9" i="6" s="1"/>
  <c r="M7" i="6"/>
  <c r="N8" i="6"/>
  <c r="O8" i="6" s="1"/>
  <c r="M8" i="6"/>
  <c r="E64" i="1"/>
  <c r="C71" i="1"/>
  <c r="E10" i="6"/>
  <c r="I10" i="6"/>
  <c r="D10" i="6"/>
  <c r="F10" i="6" s="1"/>
  <c r="G10" i="6" s="1"/>
  <c r="J10" i="6"/>
  <c r="B11" i="6"/>
  <c r="A12" i="6"/>
  <c r="H9" i="6"/>
  <c r="H10" i="6" l="1"/>
  <c r="E71" i="1"/>
  <c r="C83" i="1"/>
  <c r="A13" i="6"/>
  <c r="B12" i="6"/>
  <c r="K10" i="6"/>
  <c r="L10" i="6" s="1"/>
  <c r="N9" i="6"/>
  <c r="O9" i="6" s="1"/>
  <c r="M9" i="6"/>
  <c r="E11" i="6"/>
  <c r="J11" i="6"/>
  <c r="I11" i="6"/>
  <c r="D11" i="6"/>
  <c r="F11" i="6" s="1"/>
  <c r="G11" i="6" s="1"/>
  <c r="K11" i="6" l="1"/>
  <c r="L11" i="6" s="1"/>
  <c r="M10" i="6"/>
  <c r="N10" i="6"/>
  <c r="O10" i="6" s="1"/>
  <c r="H11" i="6"/>
  <c r="A14" i="6"/>
  <c r="B13" i="6"/>
  <c r="E83" i="1"/>
  <c r="C97" i="1"/>
  <c r="I12" i="6"/>
  <c r="J12" i="6"/>
  <c r="E12" i="6"/>
  <c r="D12" i="6"/>
  <c r="B14" i="6" l="1"/>
  <c r="A15" i="6"/>
  <c r="C109" i="1"/>
  <c r="E109" i="1" s="1"/>
  <c r="E97" i="1"/>
  <c r="E13" i="6"/>
  <c r="I13" i="6"/>
  <c r="D13" i="6"/>
  <c r="F13" i="6" s="1"/>
  <c r="G13" i="6" s="1"/>
  <c r="J13" i="6"/>
  <c r="M11" i="6"/>
  <c r="N11" i="6"/>
  <c r="O11" i="6" s="1"/>
  <c r="F12" i="6"/>
  <c r="G12" i="6" s="1"/>
  <c r="K12" i="6"/>
  <c r="K13" i="6" l="1"/>
  <c r="L13" i="6" s="1"/>
  <c r="H13" i="6"/>
  <c r="B15" i="6"/>
  <c r="A16" i="6"/>
  <c r="L12" i="6"/>
  <c r="H12" i="6"/>
  <c r="E14" i="6"/>
  <c r="J14" i="6"/>
  <c r="I14" i="6"/>
  <c r="D14" i="6"/>
  <c r="F14" i="6" s="1"/>
  <c r="G14" i="6" s="1"/>
  <c r="M12" i="6" l="1"/>
  <c r="N12" i="6"/>
  <c r="O12" i="6" s="1"/>
  <c r="A17" i="6"/>
  <c r="B16" i="6"/>
  <c r="E15" i="6"/>
  <c r="D15" i="6"/>
  <c r="F15" i="6" s="1"/>
  <c r="G15" i="6" s="1"/>
  <c r="J15" i="6"/>
  <c r="I15" i="6"/>
  <c r="H14" i="6"/>
  <c r="K14" i="6"/>
  <c r="L14" i="6" s="1"/>
  <c r="M13" i="6"/>
  <c r="N13" i="6"/>
  <c r="O13" i="6" s="1"/>
  <c r="K15" i="6" l="1"/>
  <c r="L15" i="6" s="1"/>
  <c r="H15" i="6"/>
  <c r="I16" i="6"/>
  <c r="E16" i="6"/>
  <c r="D16" i="6"/>
  <c r="F16" i="6" s="1"/>
  <c r="G16" i="6" s="1"/>
  <c r="J16" i="6"/>
  <c r="A18" i="6"/>
  <c r="B17" i="6"/>
  <c r="N14" i="6"/>
  <c r="O14" i="6" s="1"/>
  <c r="M14" i="6"/>
  <c r="H16" i="6" l="1"/>
  <c r="E17" i="6"/>
  <c r="I17" i="6"/>
  <c r="D17" i="6"/>
  <c r="F17" i="6" s="1"/>
  <c r="G17" i="6" s="1"/>
  <c r="J17" i="6"/>
  <c r="A19" i="6"/>
  <c r="B18" i="6"/>
  <c r="N15" i="6"/>
  <c r="O15" i="6" s="1"/>
  <c r="M15" i="6"/>
  <c r="K16" i="6"/>
  <c r="L16" i="6" s="1"/>
  <c r="K17" i="6" l="1"/>
  <c r="L17" i="6" s="1"/>
  <c r="N16" i="6"/>
  <c r="O16" i="6" s="1"/>
  <c r="M16" i="6"/>
  <c r="H17" i="6"/>
  <c r="E18" i="6"/>
  <c r="J18" i="6"/>
  <c r="I18" i="6"/>
  <c r="D18" i="6"/>
  <c r="F18" i="6" s="1"/>
  <c r="G18" i="6" s="1"/>
  <c r="B19" i="6"/>
  <c r="A20" i="6"/>
  <c r="K18" i="6" l="1"/>
  <c r="L18" i="6" s="1"/>
  <c r="H18" i="6"/>
  <c r="M17" i="6"/>
  <c r="N17" i="6"/>
  <c r="O17" i="6" s="1"/>
  <c r="A21" i="6"/>
  <c r="B20" i="6"/>
  <c r="E19" i="6"/>
  <c r="J19" i="6"/>
  <c r="I19" i="6"/>
  <c r="D19" i="6"/>
  <c r="I20" i="6" l="1"/>
  <c r="E20" i="6"/>
  <c r="D20" i="6"/>
  <c r="F20" i="6" s="1"/>
  <c r="G20" i="6" s="1"/>
  <c r="J20" i="6"/>
  <c r="A22" i="6"/>
  <c r="B21" i="6"/>
  <c r="M18" i="6"/>
  <c r="N18" i="6"/>
  <c r="O18" i="6" s="1"/>
  <c r="F19" i="6"/>
  <c r="G19" i="6" s="1"/>
  <c r="K19" i="6"/>
  <c r="H20" i="6" l="1"/>
  <c r="E21" i="6"/>
  <c r="J21" i="6"/>
  <c r="I21" i="6"/>
  <c r="D21" i="6"/>
  <c r="F21" i="6" s="1"/>
  <c r="G21" i="6" s="1"/>
  <c r="B22" i="6"/>
  <c r="A23" i="6"/>
  <c r="H19" i="6"/>
  <c r="L19" i="6"/>
  <c r="K20" i="6"/>
  <c r="L20" i="6" s="1"/>
  <c r="K21" i="6" l="1"/>
  <c r="L21" i="6" s="1"/>
  <c r="N20" i="6"/>
  <c r="O20" i="6" s="1"/>
  <c r="M20" i="6"/>
  <c r="H21" i="6"/>
  <c r="M19" i="6"/>
  <c r="N19" i="6"/>
  <c r="O19" i="6" s="1"/>
  <c r="B23" i="6"/>
  <c r="A24" i="6"/>
  <c r="J22" i="6"/>
  <c r="E22" i="6"/>
  <c r="I22" i="6"/>
  <c r="D22" i="6"/>
  <c r="F22" i="6" s="1"/>
  <c r="G22" i="6" s="1"/>
  <c r="K22" i="6" l="1"/>
  <c r="L22" i="6" s="1"/>
  <c r="N21" i="6"/>
  <c r="O21" i="6" s="1"/>
  <c r="M21" i="6"/>
  <c r="A25" i="6"/>
  <c r="B24" i="6"/>
  <c r="E23" i="6"/>
  <c r="J23" i="6"/>
  <c r="D23" i="6"/>
  <c r="F23" i="6" s="1"/>
  <c r="G23" i="6" s="1"/>
  <c r="I23" i="6"/>
  <c r="H22" i="6"/>
  <c r="H23" i="6" l="1"/>
  <c r="I24" i="6"/>
  <c r="E24" i="6"/>
  <c r="J24" i="6"/>
  <c r="D24" i="6"/>
  <c r="B25" i="6"/>
  <c r="A26" i="6"/>
  <c r="K23" i="6"/>
  <c r="L23" i="6" s="1"/>
  <c r="M22" i="6"/>
  <c r="N22" i="6"/>
  <c r="O22" i="6" s="1"/>
  <c r="K24" i="6" l="1"/>
  <c r="N23" i="6"/>
  <c r="O23" i="6" s="1"/>
  <c r="M23" i="6"/>
  <c r="B26" i="6"/>
  <c r="A27" i="6"/>
  <c r="J25" i="6"/>
  <c r="I25" i="6"/>
  <c r="K25" i="6" s="1"/>
  <c r="E25" i="6"/>
  <c r="R25" i="6"/>
  <c r="D25" i="6"/>
  <c r="F24" i="6"/>
  <c r="G24" i="6" s="1"/>
  <c r="A28" i="6" l="1"/>
  <c r="B27" i="6"/>
  <c r="E26" i="6"/>
  <c r="I26" i="6"/>
  <c r="D26" i="6"/>
  <c r="J26" i="6"/>
  <c r="H24" i="6"/>
  <c r="L24" i="6"/>
  <c r="F25" i="6"/>
  <c r="G25" i="6" s="1"/>
  <c r="F26" i="6" l="1"/>
  <c r="G26" i="6" s="1"/>
  <c r="H26" i="6" s="1"/>
  <c r="M24" i="6"/>
  <c r="N24" i="6"/>
  <c r="O24" i="6" s="1"/>
  <c r="K26" i="6"/>
  <c r="E27" i="6"/>
  <c r="J27" i="6"/>
  <c r="I27" i="6"/>
  <c r="D27" i="6"/>
  <c r="F27" i="6" s="1"/>
  <c r="G27" i="6" s="1"/>
  <c r="L25" i="6"/>
  <c r="H25" i="6"/>
  <c r="A29" i="6"/>
  <c r="B28" i="6"/>
  <c r="K27" i="6" l="1"/>
  <c r="L27" i="6" s="1"/>
  <c r="L26" i="6"/>
  <c r="N26" i="6" s="1"/>
  <c r="O26" i="6" s="1"/>
  <c r="H27" i="6"/>
  <c r="J28" i="6"/>
  <c r="E28" i="6"/>
  <c r="I28" i="6"/>
  <c r="D28" i="6"/>
  <c r="A30" i="6"/>
  <c r="B29" i="6"/>
  <c r="N25" i="6"/>
  <c r="O25" i="6" s="1"/>
  <c r="M25" i="6"/>
  <c r="K28" i="6" l="1"/>
  <c r="M26" i="6"/>
  <c r="F28" i="6"/>
  <c r="G28" i="6" s="1"/>
  <c r="M27" i="6"/>
  <c r="N27" i="6"/>
  <c r="O27" i="6" s="1"/>
  <c r="E29" i="6"/>
  <c r="I29" i="6"/>
  <c r="D29" i="6"/>
  <c r="F29" i="6" s="1"/>
  <c r="G29" i="6" s="1"/>
  <c r="J29" i="6"/>
  <c r="A31" i="6"/>
  <c r="B30" i="6"/>
  <c r="K29" i="6" l="1"/>
  <c r="L29" i="6" s="1"/>
  <c r="B31" i="6"/>
  <c r="A32" i="6"/>
  <c r="H29" i="6"/>
  <c r="E30" i="6"/>
  <c r="D30" i="6"/>
  <c r="F30" i="6" s="1"/>
  <c r="G30" i="6" s="1"/>
  <c r="J30" i="6"/>
  <c r="I30" i="6"/>
  <c r="L28" i="6"/>
  <c r="H28" i="6"/>
  <c r="M29" i="6" l="1"/>
  <c r="N29" i="6"/>
  <c r="O29" i="6" s="1"/>
  <c r="A33" i="6"/>
  <c r="B32" i="6"/>
  <c r="M28" i="6"/>
  <c r="N28" i="6"/>
  <c r="O28" i="6" s="1"/>
  <c r="J31" i="6"/>
  <c r="E31" i="6"/>
  <c r="I31" i="6"/>
  <c r="D31" i="6"/>
  <c r="F31" i="6" s="1"/>
  <c r="G31" i="6" s="1"/>
  <c r="H30" i="6"/>
  <c r="K30" i="6"/>
  <c r="L30" i="6" s="1"/>
  <c r="N30" i="6" l="1"/>
  <c r="O30" i="6" s="1"/>
  <c r="M30" i="6"/>
  <c r="J32" i="6"/>
  <c r="E32" i="6"/>
  <c r="I32" i="6"/>
  <c r="D32" i="6"/>
  <c r="F32" i="6" s="1"/>
  <c r="G32" i="6" s="1"/>
  <c r="A34" i="6"/>
  <c r="B33" i="6"/>
  <c r="H31" i="6"/>
  <c r="K31" i="6"/>
  <c r="L31" i="6" s="1"/>
  <c r="K32" i="6" l="1"/>
  <c r="L32" i="6" s="1"/>
  <c r="N31" i="6"/>
  <c r="O31" i="6" s="1"/>
  <c r="M31" i="6"/>
  <c r="E33" i="6"/>
  <c r="J33" i="6"/>
  <c r="I33" i="6"/>
  <c r="D33" i="6"/>
  <c r="F33" i="6" s="1"/>
  <c r="G33" i="6" s="1"/>
  <c r="B34" i="6"/>
  <c r="A35" i="6"/>
  <c r="H32" i="6"/>
  <c r="K33" i="6" l="1"/>
  <c r="L33" i="6" s="1"/>
  <c r="H33" i="6"/>
  <c r="B35" i="6"/>
  <c r="A36" i="6"/>
  <c r="J34" i="6"/>
  <c r="E34" i="6"/>
  <c r="I34" i="6"/>
  <c r="D34" i="6"/>
  <c r="F34" i="6" s="1"/>
  <c r="G34" i="6" s="1"/>
  <c r="M32" i="6"/>
  <c r="N32" i="6"/>
  <c r="O32" i="6" s="1"/>
  <c r="K34" i="6" l="1"/>
  <c r="L34" i="6" s="1"/>
  <c r="H34" i="6"/>
  <c r="A37" i="6"/>
  <c r="B36" i="6"/>
  <c r="D35" i="6"/>
  <c r="J35" i="6"/>
  <c r="E35" i="6"/>
  <c r="I35" i="6"/>
  <c r="N33" i="6"/>
  <c r="O33" i="6" s="1"/>
  <c r="M33" i="6"/>
  <c r="K35" i="6" l="1"/>
  <c r="F35" i="6"/>
  <c r="G35" i="6" s="1"/>
  <c r="J36" i="6"/>
  <c r="E36" i="6"/>
  <c r="D36" i="6"/>
  <c r="F36" i="6" s="1"/>
  <c r="G36" i="6" s="1"/>
  <c r="I36" i="6"/>
  <c r="B37" i="6"/>
  <c r="A38" i="6"/>
  <c r="N34" i="6"/>
  <c r="O34" i="6" s="1"/>
  <c r="M34" i="6"/>
  <c r="K36" i="6" l="1"/>
  <c r="B38" i="6"/>
  <c r="A39" i="6"/>
  <c r="J37" i="6"/>
  <c r="E37" i="6"/>
  <c r="I37" i="6"/>
  <c r="K37" i="6" s="1"/>
  <c r="D37" i="6"/>
  <c r="F37" i="6" s="1"/>
  <c r="G37" i="6" s="1"/>
  <c r="L36" i="6"/>
  <c r="H36" i="6"/>
  <c r="H35" i="6"/>
  <c r="L35" i="6"/>
  <c r="L37" i="6" l="1"/>
  <c r="H37" i="6"/>
  <c r="M36" i="6"/>
  <c r="N36" i="6"/>
  <c r="O36" i="6" s="1"/>
  <c r="M35" i="6"/>
  <c r="N35" i="6"/>
  <c r="O35" i="6" s="1"/>
  <c r="B39" i="6"/>
  <c r="A40" i="6"/>
  <c r="J38" i="6"/>
  <c r="E38" i="6"/>
  <c r="D38" i="6"/>
  <c r="F38" i="6" s="1"/>
  <c r="G38" i="6" s="1"/>
  <c r="I38" i="6"/>
  <c r="K38" i="6" l="1"/>
  <c r="L38" i="6" s="1"/>
  <c r="H38" i="6"/>
  <c r="A41" i="6"/>
  <c r="B40" i="6"/>
  <c r="D39" i="6"/>
  <c r="F39" i="6" s="1"/>
  <c r="G39" i="6" s="1"/>
  <c r="J39" i="6"/>
  <c r="E39" i="6"/>
  <c r="I39" i="6"/>
  <c r="M37" i="6"/>
  <c r="N37" i="6"/>
  <c r="O37" i="6" s="1"/>
  <c r="H39" i="6" l="1"/>
  <c r="J40" i="6"/>
  <c r="I40" i="6"/>
  <c r="E40" i="6"/>
  <c r="D40" i="6"/>
  <c r="F40" i="6" s="1"/>
  <c r="G40" i="6" s="1"/>
  <c r="B41" i="6"/>
  <c r="A42" i="6"/>
  <c r="K39" i="6"/>
  <c r="L39" i="6" s="1"/>
  <c r="N38" i="6"/>
  <c r="O38" i="6" s="1"/>
  <c r="M38" i="6"/>
  <c r="K40" i="6" l="1"/>
  <c r="L40" i="6" s="1"/>
  <c r="M39" i="6"/>
  <c r="N39" i="6"/>
  <c r="O39" i="6" s="1"/>
  <c r="H40" i="6"/>
  <c r="B42" i="6"/>
  <c r="A43" i="6"/>
  <c r="J41" i="6"/>
  <c r="E41" i="6"/>
  <c r="D41" i="6"/>
  <c r="I41" i="6"/>
  <c r="K41" i="6" l="1"/>
  <c r="F41" i="6"/>
  <c r="G41" i="6" s="1"/>
  <c r="M40" i="6"/>
  <c r="N40" i="6"/>
  <c r="O40" i="6" s="1"/>
  <c r="A44" i="6"/>
  <c r="B43" i="6"/>
  <c r="J42" i="6"/>
  <c r="D42" i="6"/>
  <c r="F42" i="6" s="1"/>
  <c r="G42" i="6" s="1"/>
  <c r="E42" i="6"/>
  <c r="I42" i="6"/>
  <c r="L41" i="6" l="1"/>
  <c r="N41" i="6" s="1"/>
  <c r="O41" i="6" s="1"/>
  <c r="H41" i="6"/>
  <c r="H42" i="6"/>
  <c r="K42" i="6"/>
  <c r="L42" i="6" s="1"/>
  <c r="I43" i="6"/>
  <c r="J43" i="6"/>
  <c r="D43" i="6"/>
  <c r="E43" i="6"/>
  <c r="A45" i="6"/>
  <c r="B44" i="6"/>
  <c r="M41" i="6" l="1"/>
  <c r="K43" i="6"/>
  <c r="M42" i="6"/>
  <c r="N42" i="6"/>
  <c r="O42" i="6" s="1"/>
  <c r="B45" i="6"/>
  <c r="A46" i="6"/>
  <c r="F43" i="6"/>
  <c r="G43" i="6" s="1"/>
  <c r="J44" i="6"/>
  <c r="I44" i="6"/>
  <c r="E44" i="6"/>
  <c r="D44" i="6"/>
  <c r="K44" i="6" l="1"/>
  <c r="L43" i="6"/>
  <c r="H43" i="6"/>
  <c r="A47" i="6"/>
  <c r="B46" i="6"/>
  <c r="J45" i="6"/>
  <c r="E45" i="6"/>
  <c r="I45" i="6"/>
  <c r="K45" i="6" s="1"/>
  <c r="R45" i="6"/>
  <c r="D45" i="6"/>
  <c r="F44" i="6"/>
  <c r="G44" i="6" s="1"/>
  <c r="H44" i="6" l="1"/>
  <c r="L44" i="6"/>
  <c r="J46" i="6"/>
  <c r="E46" i="6"/>
  <c r="I46" i="6"/>
  <c r="D46" i="6"/>
  <c r="F46" i="6" s="1"/>
  <c r="G46" i="6" s="1"/>
  <c r="B47" i="6"/>
  <c r="A48" i="6"/>
  <c r="F45" i="6"/>
  <c r="G45" i="6" s="1"/>
  <c r="M43" i="6"/>
  <c r="N43" i="6"/>
  <c r="O43" i="6" s="1"/>
  <c r="K46" i="6" l="1"/>
  <c r="L46" i="6" s="1"/>
  <c r="H46" i="6"/>
  <c r="N44" i="6"/>
  <c r="O44" i="6" s="1"/>
  <c r="M44" i="6"/>
  <c r="B48" i="6"/>
  <c r="A49" i="6"/>
  <c r="J47" i="6"/>
  <c r="E47" i="6"/>
  <c r="D47" i="6"/>
  <c r="I47" i="6"/>
  <c r="L45" i="6"/>
  <c r="H45" i="6"/>
  <c r="E48" i="6" l="1"/>
  <c r="J48" i="6"/>
  <c r="I48" i="6"/>
  <c r="D48" i="6"/>
  <c r="F48" i="6" s="1"/>
  <c r="G48" i="6" s="1"/>
  <c r="M45" i="6"/>
  <c r="N45" i="6"/>
  <c r="O45" i="6" s="1"/>
  <c r="K47" i="6"/>
  <c r="M46" i="6"/>
  <c r="N46" i="6"/>
  <c r="O46" i="6" s="1"/>
  <c r="B49" i="6"/>
  <c r="A50" i="6"/>
  <c r="F47" i="6"/>
  <c r="G47" i="6" s="1"/>
  <c r="K48" i="6" l="1"/>
  <c r="L48" i="6" s="1"/>
  <c r="H47" i="6"/>
  <c r="L47" i="6"/>
  <c r="B50" i="6"/>
  <c r="A51" i="6"/>
  <c r="H48" i="6"/>
  <c r="I49" i="6"/>
  <c r="J49" i="6"/>
  <c r="E49" i="6"/>
  <c r="D49" i="6"/>
  <c r="F49" i="6" s="1"/>
  <c r="G49" i="6" s="1"/>
  <c r="K49" i="6" l="1"/>
  <c r="L49" i="6" s="1"/>
  <c r="N48" i="6"/>
  <c r="O48" i="6" s="1"/>
  <c r="M48" i="6"/>
  <c r="B51" i="6"/>
  <c r="A52" i="6"/>
  <c r="J50" i="6"/>
  <c r="E50" i="6"/>
  <c r="D50" i="6"/>
  <c r="F50" i="6" s="1"/>
  <c r="G50" i="6" s="1"/>
  <c r="I50" i="6"/>
  <c r="M47" i="6"/>
  <c r="N47" i="6"/>
  <c r="O47" i="6" s="1"/>
  <c r="H49" i="6"/>
  <c r="K50" i="6" l="1"/>
  <c r="L50" i="6" s="1"/>
  <c r="B52" i="6"/>
  <c r="A53" i="6"/>
  <c r="N49" i="6"/>
  <c r="O49" i="6" s="1"/>
  <c r="M49" i="6"/>
  <c r="J51" i="6"/>
  <c r="E51" i="6"/>
  <c r="I51" i="6"/>
  <c r="D51" i="6"/>
  <c r="F51" i="6" s="1"/>
  <c r="G51" i="6" s="1"/>
  <c r="H50" i="6"/>
  <c r="K51" i="6" l="1"/>
  <c r="L51" i="6" s="1"/>
  <c r="H51" i="6"/>
  <c r="B53" i="6"/>
  <c r="A54" i="6"/>
  <c r="M50" i="6"/>
  <c r="N50" i="6"/>
  <c r="O50" i="6" s="1"/>
  <c r="E52" i="6"/>
  <c r="I52" i="6"/>
  <c r="J52" i="6"/>
  <c r="D52" i="6"/>
  <c r="K52" i="6" l="1"/>
  <c r="B54" i="6"/>
  <c r="A55" i="6"/>
  <c r="I53" i="6"/>
  <c r="J53" i="6"/>
  <c r="E53" i="6"/>
  <c r="D53" i="6"/>
  <c r="F53" i="6" s="1"/>
  <c r="G53" i="6" s="1"/>
  <c r="F52" i="6"/>
  <c r="G52" i="6" s="1"/>
  <c r="M51" i="6"/>
  <c r="N51" i="6"/>
  <c r="O51" i="6" s="1"/>
  <c r="K53" i="6" l="1"/>
  <c r="L53" i="6" s="1"/>
  <c r="L52" i="6"/>
  <c r="H52" i="6"/>
  <c r="H53" i="6"/>
  <c r="A56" i="6"/>
  <c r="B55" i="6"/>
  <c r="J54" i="6"/>
  <c r="E54" i="6"/>
  <c r="I54" i="6"/>
  <c r="D54" i="6"/>
  <c r="F54" i="6" l="1"/>
  <c r="G54" i="6" s="1"/>
  <c r="H54" i="6" s="1"/>
  <c r="I55" i="6"/>
  <c r="J55" i="6"/>
  <c r="D55" i="6"/>
  <c r="F55" i="6" s="1"/>
  <c r="G55" i="6" s="1"/>
  <c r="E55" i="6"/>
  <c r="B56" i="6"/>
  <c r="A57" i="6"/>
  <c r="N53" i="6"/>
  <c r="O53" i="6" s="1"/>
  <c r="M53" i="6"/>
  <c r="K54" i="6"/>
  <c r="N52" i="6"/>
  <c r="O52" i="6" s="1"/>
  <c r="M52" i="6"/>
  <c r="L54" i="6" l="1"/>
  <c r="M54" i="6" s="1"/>
  <c r="E56" i="6"/>
  <c r="D56" i="6"/>
  <c r="F56" i="6" s="1"/>
  <c r="G56" i="6" s="1"/>
  <c r="I56" i="6"/>
  <c r="J56" i="6"/>
  <c r="B57" i="6"/>
  <c r="A58" i="6"/>
  <c r="H55" i="6"/>
  <c r="K55" i="6"/>
  <c r="L55" i="6" s="1"/>
  <c r="N54" i="6" l="1"/>
  <c r="O54" i="6" s="1"/>
  <c r="N55" i="6"/>
  <c r="O55" i="6" s="1"/>
  <c r="M55" i="6"/>
  <c r="H56" i="6"/>
  <c r="I57" i="6"/>
  <c r="J57" i="6"/>
  <c r="E57" i="6"/>
  <c r="D57" i="6"/>
  <c r="F57" i="6" s="1"/>
  <c r="G57" i="6" s="1"/>
  <c r="A59" i="6"/>
  <c r="B58" i="6"/>
  <c r="K56" i="6"/>
  <c r="L56" i="6" s="1"/>
  <c r="K57" i="6" l="1"/>
  <c r="L57" i="6" s="1"/>
  <c r="N56" i="6"/>
  <c r="O56" i="6" s="1"/>
  <c r="M56" i="6"/>
  <c r="I58" i="6"/>
  <c r="D58" i="6"/>
  <c r="J58" i="6"/>
  <c r="E58" i="6"/>
  <c r="H57" i="6"/>
  <c r="A60" i="6"/>
  <c r="B59" i="6"/>
  <c r="K58" i="6" l="1"/>
  <c r="M57" i="6"/>
  <c r="N57" i="6"/>
  <c r="O57" i="6" s="1"/>
  <c r="F58" i="6"/>
  <c r="G58" i="6" s="1"/>
  <c r="I59" i="6"/>
  <c r="J59" i="6"/>
  <c r="E59" i="6"/>
  <c r="D59" i="6"/>
  <c r="B60" i="6"/>
  <c r="A61" i="6"/>
  <c r="F59" i="6" l="1"/>
  <c r="G59" i="6" s="1"/>
  <c r="H59" i="6" s="1"/>
  <c r="L58" i="6"/>
  <c r="H58" i="6"/>
  <c r="A62" i="6"/>
  <c r="B61" i="6"/>
  <c r="K59" i="6"/>
  <c r="E60" i="6"/>
  <c r="I60" i="6"/>
  <c r="J60" i="6"/>
  <c r="D60" i="6"/>
  <c r="L59" i="6" l="1"/>
  <c r="M59" i="6" s="1"/>
  <c r="I61" i="6"/>
  <c r="J61" i="6"/>
  <c r="D61" i="6"/>
  <c r="E61" i="6"/>
  <c r="A63" i="6"/>
  <c r="B62" i="6"/>
  <c r="N58" i="6"/>
  <c r="O58" i="6" s="1"/>
  <c r="M58" i="6"/>
  <c r="F60" i="6"/>
  <c r="G60" i="6" s="1"/>
  <c r="K60" i="6"/>
  <c r="N59" i="6" l="1"/>
  <c r="O59" i="6" s="1"/>
  <c r="F61" i="6"/>
  <c r="G61" i="6" s="1"/>
  <c r="H61" i="6" s="1"/>
  <c r="I62" i="6"/>
  <c r="J62" i="6"/>
  <c r="E62" i="6"/>
  <c r="D62" i="6"/>
  <c r="F62" i="6" s="1"/>
  <c r="G62" i="6" s="1"/>
  <c r="A64" i="6"/>
  <c r="B63" i="6"/>
  <c r="K61" i="6"/>
  <c r="L60" i="6"/>
  <c r="H60" i="6"/>
  <c r="L61" i="6" l="1"/>
  <c r="M61" i="6" s="1"/>
  <c r="H62" i="6"/>
  <c r="D63" i="6"/>
  <c r="F63" i="6" s="1"/>
  <c r="G63" i="6" s="1"/>
  <c r="E63" i="6"/>
  <c r="I63" i="6"/>
  <c r="J63" i="6"/>
  <c r="B64" i="6"/>
  <c r="A65" i="6"/>
  <c r="N60" i="6"/>
  <c r="O60" i="6" s="1"/>
  <c r="M60" i="6"/>
  <c r="K62" i="6"/>
  <c r="L62" i="6" s="1"/>
  <c r="K63" i="6" l="1"/>
  <c r="L63" i="6" s="1"/>
  <c r="N61" i="6"/>
  <c r="O61" i="6" s="1"/>
  <c r="M62" i="6"/>
  <c r="N62" i="6"/>
  <c r="O62" i="6" s="1"/>
  <c r="H63" i="6"/>
  <c r="A66" i="6"/>
  <c r="B65" i="6"/>
  <c r="E64" i="6"/>
  <c r="I64" i="6"/>
  <c r="J64" i="6"/>
  <c r="D64" i="6"/>
  <c r="K64" i="6" l="1"/>
  <c r="I65" i="6"/>
  <c r="J65" i="6"/>
  <c r="E65" i="6"/>
  <c r="D65" i="6"/>
  <c r="F65" i="6" s="1"/>
  <c r="G65" i="6" s="1"/>
  <c r="A67" i="6"/>
  <c r="B66" i="6"/>
  <c r="M63" i="6"/>
  <c r="N63" i="6"/>
  <c r="O63" i="6" s="1"/>
  <c r="F64" i="6"/>
  <c r="G64" i="6" s="1"/>
  <c r="E66" i="6" l="1"/>
  <c r="I66" i="6"/>
  <c r="J66" i="6"/>
  <c r="D66" i="6"/>
  <c r="F66" i="6" s="1"/>
  <c r="G66" i="6" s="1"/>
  <c r="A68" i="6"/>
  <c r="B67" i="6"/>
  <c r="H65" i="6"/>
  <c r="H64" i="6"/>
  <c r="L64" i="6"/>
  <c r="K65" i="6"/>
  <c r="L65" i="6" s="1"/>
  <c r="K66" i="6" l="1"/>
  <c r="L66" i="6" s="1"/>
  <c r="E67" i="6"/>
  <c r="I67" i="6"/>
  <c r="D67" i="6"/>
  <c r="J67" i="6"/>
  <c r="N65" i="6"/>
  <c r="O65" i="6" s="1"/>
  <c r="M65" i="6"/>
  <c r="B68" i="6"/>
  <c r="A69" i="6"/>
  <c r="H66" i="6"/>
  <c r="M64" i="6"/>
  <c r="N64" i="6"/>
  <c r="O64" i="6" s="1"/>
  <c r="F67" i="6" l="1"/>
  <c r="G67" i="6" s="1"/>
  <c r="H67" i="6" s="1"/>
  <c r="E68" i="6"/>
  <c r="D68" i="6"/>
  <c r="F68" i="6" s="1"/>
  <c r="G68" i="6" s="1"/>
  <c r="I68" i="6"/>
  <c r="J68" i="6"/>
  <c r="A70" i="6"/>
  <c r="B69" i="6"/>
  <c r="K67" i="6"/>
  <c r="M66" i="6"/>
  <c r="N66" i="6"/>
  <c r="O66" i="6" s="1"/>
  <c r="L67" i="6" l="1"/>
  <c r="M67" i="6" s="1"/>
  <c r="K68" i="6"/>
  <c r="L68" i="6" s="1"/>
  <c r="H68" i="6"/>
  <c r="I69" i="6"/>
  <c r="E69" i="6"/>
  <c r="J69" i="6"/>
  <c r="D69" i="6"/>
  <c r="A71" i="6"/>
  <c r="B70" i="6"/>
  <c r="N67" i="6" l="1"/>
  <c r="O67" i="6" s="1"/>
  <c r="E70" i="6"/>
  <c r="I70" i="6"/>
  <c r="D70" i="6"/>
  <c r="F70" i="6" s="1"/>
  <c r="G70" i="6" s="1"/>
  <c r="J70" i="6"/>
  <c r="M68" i="6"/>
  <c r="N68" i="6"/>
  <c r="O68" i="6" s="1"/>
  <c r="B71" i="6"/>
  <c r="A72" i="6"/>
  <c r="K69" i="6"/>
  <c r="F69" i="6"/>
  <c r="G69" i="6" s="1"/>
  <c r="K70" i="6" l="1"/>
  <c r="L70" i="6" s="1"/>
  <c r="B72" i="6"/>
  <c r="A73" i="6"/>
  <c r="J71" i="6"/>
  <c r="I71" i="6"/>
  <c r="K71" i="6" s="1"/>
  <c r="D71" i="6"/>
  <c r="E71" i="6"/>
  <c r="H70" i="6"/>
  <c r="H69" i="6"/>
  <c r="L69" i="6"/>
  <c r="F71" i="6" l="1"/>
  <c r="G71" i="6" s="1"/>
  <c r="L71" i="6" s="1"/>
  <c r="M70" i="6"/>
  <c r="N70" i="6"/>
  <c r="O70" i="6" s="1"/>
  <c r="N69" i="6"/>
  <c r="O69" i="6" s="1"/>
  <c r="M69" i="6"/>
  <c r="A74" i="6"/>
  <c r="B73" i="6"/>
  <c r="E72" i="6"/>
  <c r="J72" i="6"/>
  <c r="I72" i="6"/>
  <c r="D72" i="6"/>
  <c r="F72" i="6" s="1"/>
  <c r="G72" i="6" s="1"/>
  <c r="K72" i="6" l="1"/>
  <c r="H71" i="6"/>
  <c r="I73" i="6"/>
  <c r="E73" i="6"/>
  <c r="J73" i="6"/>
  <c r="D73" i="6"/>
  <c r="F73" i="6" s="1"/>
  <c r="G73" i="6" s="1"/>
  <c r="A75" i="6"/>
  <c r="B74" i="6"/>
  <c r="L72" i="6"/>
  <c r="H72" i="6"/>
  <c r="M71" i="6"/>
  <c r="N71" i="6"/>
  <c r="O71" i="6" s="1"/>
  <c r="N72" i="6" l="1"/>
  <c r="O72" i="6" s="1"/>
  <c r="M72" i="6"/>
  <c r="J74" i="6"/>
  <c r="I74" i="6"/>
  <c r="E74" i="6"/>
  <c r="D74" i="6"/>
  <c r="B75" i="6"/>
  <c r="A76" i="6"/>
  <c r="H73" i="6"/>
  <c r="K73" i="6"/>
  <c r="L73" i="6" s="1"/>
  <c r="K74" i="6" l="1"/>
  <c r="M73" i="6"/>
  <c r="N73" i="6"/>
  <c r="O73" i="6" s="1"/>
  <c r="B76" i="6"/>
  <c r="A77" i="6"/>
  <c r="J75" i="6"/>
  <c r="E75" i="6"/>
  <c r="D75" i="6"/>
  <c r="F75" i="6" s="1"/>
  <c r="G75" i="6" s="1"/>
  <c r="I75" i="6"/>
  <c r="F74" i="6"/>
  <c r="G74" i="6" s="1"/>
  <c r="K75" i="6" l="1"/>
  <c r="A78" i="6"/>
  <c r="B77" i="6"/>
  <c r="E76" i="6"/>
  <c r="J76" i="6"/>
  <c r="D76" i="6"/>
  <c r="F76" i="6" s="1"/>
  <c r="G76" i="6" s="1"/>
  <c r="I76" i="6"/>
  <c r="H75" i="6"/>
  <c r="L75" i="6"/>
  <c r="L74" i="6"/>
  <c r="H74" i="6"/>
  <c r="K76" i="6" l="1"/>
  <c r="L76" i="6" s="1"/>
  <c r="M75" i="6"/>
  <c r="N75" i="6"/>
  <c r="O75" i="6" s="1"/>
  <c r="H76" i="6"/>
  <c r="I77" i="6"/>
  <c r="D77" i="6"/>
  <c r="F77" i="6" s="1"/>
  <c r="G77" i="6" s="1"/>
  <c r="E77" i="6"/>
  <c r="J77" i="6"/>
  <c r="N74" i="6"/>
  <c r="O74" i="6" s="1"/>
  <c r="M74" i="6"/>
  <c r="B78" i="6"/>
  <c r="A79" i="6"/>
  <c r="H77" i="6" l="1"/>
  <c r="M76" i="6"/>
  <c r="N76" i="6"/>
  <c r="O76" i="6" s="1"/>
  <c r="K77" i="6"/>
  <c r="L77" i="6" s="1"/>
  <c r="B79" i="6"/>
  <c r="A80" i="6"/>
  <c r="J78" i="6"/>
  <c r="E78" i="6"/>
  <c r="D78" i="6"/>
  <c r="I78" i="6"/>
  <c r="K78" i="6" l="1"/>
  <c r="F78" i="6"/>
  <c r="G78" i="6" s="1"/>
  <c r="N77" i="6"/>
  <c r="O77" i="6" s="1"/>
  <c r="M77" i="6"/>
  <c r="B80" i="6"/>
  <c r="A81" i="6"/>
  <c r="E79" i="6"/>
  <c r="D79" i="6"/>
  <c r="F79" i="6" s="1"/>
  <c r="G79" i="6" s="1"/>
  <c r="J79" i="6"/>
  <c r="I79" i="6"/>
  <c r="L78" i="6" l="1"/>
  <c r="M78" i="6" s="1"/>
  <c r="H78" i="6"/>
  <c r="H79" i="6"/>
  <c r="B81" i="6"/>
  <c r="A82" i="6"/>
  <c r="E80" i="6"/>
  <c r="J80" i="6"/>
  <c r="D80" i="6"/>
  <c r="F80" i="6" s="1"/>
  <c r="G80" i="6" s="1"/>
  <c r="I80" i="6"/>
  <c r="K79" i="6"/>
  <c r="L79" i="6" s="1"/>
  <c r="K80" i="6" l="1"/>
  <c r="N78" i="6"/>
  <c r="O78" i="6" s="1"/>
  <c r="M79" i="6"/>
  <c r="N79" i="6"/>
  <c r="O79" i="6" s="1"/>
  <c r="A83" i="6"/>
  <c r="B82" i="6"/>
  <c r="I81" i="6"/>
  <c r="J81" i="6"/>
  <c r="E81" i="6"/>
  <c r="D81" i="6"/>
  <c r="F81" i="6" s="1"/>
  <c r="G81" i="6" s="1"/>
  <c r="H80" i="6"/>
  <c r="L80" i="6"/>
  <c r="K81" i="6" l="1"/>
  <c r="L81" i="6" s="1"/>
  <c r="D82" i="6"/>
  <c r="E82" i="6"/>
  <c r="I82" i="6"/>
  <c r="J82" i="6"/>
  <c r="B83" i="6"/>
  <c r="A84" i="6"/>
  <c r="M80" i="6"/>
  <c r="N80" i="6"/>
  <c r="O80" i="6" s="1"/>
  <c r="H81" i="6"/>
  <c r="K82" i="6" l="1"/>
  <c r="B84" i="6"/>
  <c r="A85" i="6"/>
  <c r="J83" i="6"/>
  <c r="I83" i="6"/>
  <c r="D83" i="6"/>
  <c r="F83" i="6" s="1"/>
  <c r="G83" i="6" s="1"/>
  <c r="E83" i="6"/>
  <c r="M81" i="6"/>
  <c r="N81" i="6"/>
  <c r="O81" i="6" s="1"/>
  <c r="F82" i="6"/>
  <c r="G82" i="6" s="1"/>
  <c r="K83" i="6" l="1"/>
  <c r="L83" i="6" s="1"/>
  <c r="H83" i="6"/>
  <c r="A86" i="6"/>
  <c r="B85" i="6"/>
  <c r="H82" i="6"/>
  <c r="L82" i="6"/>
  <c r="E84" i="6"/>
  <c r="I84" i="6"/>
  <c r="J84" i="6"/>
  <c r="D84" i="6"/>
  <c r="F84" i="6" s="1"/>
  <c r="G84" i="6" s="1"/>
  <c r="R84" i="6"/>
  <c r="K84" i="6" l="1"/>
  <c r="L84" i="6" s="1"/>
  <c r="M82" i="6"/>
  <c r="N82" i="6"/>
  <c r="O82" i="6" s="1"/>
  <c r="J85" i="6"/>
  <c r="D85" i="6"/>
  <c r="F85" i="6" s="1"/>
  <c r="G85" i="6" s="1"/>
  <c r="E85" i="6"/>
  <c r="I85" i="6"/>
  <c r="K85" i="6" s="1"/>
  <c r="A87" i="6"/>
  <c r="B86" i="6"/>
  <c r="M83" i="6"/>
  <c r="N83" i="6"/>
  <c r="O83" i="6" s="1"/>
  <c r="H84" i="6"/>
  <c r="H85" i="6" l="1"/>
  <c r="L85" i="6"/>
  <c r="E86" i="6"/>
  <c r="I86" i="6"/>
  <c r="D86" i="6"/>
  <c r="F86" i="6" s="1"/>
  <c r="G86" i="6" s="1"/>
  <c r="J86" i="6"/>
  <c r="B87" i="6"/>
  <c r="A88" i="6"/>
  <c r="M84" i="6"/>
  <c r="N84" i="6"/>
  <c r="O84" i="6" s="1"/>
  <c r="K86" i="6" l="1"/>
  <c r="A89" i="6"/>
  <c r="B88" i="6"/>
  <c r="J87" i="6"/>
  <c r="E87" i="6"/>
  <c r="I87" i="6"/>
  <c r="K87" i="6" s="1"/>
  <c r="D87" i="6"/>
  <c r="F87" i="6" s="1"/>
  <c r="G87" i="6" s="1"/>
  <c r="H86" i="6"/>
  <c r="L86" i="6"/>
  <c r="M85" i="6"/>
  <c r="N85" i="6"/>
  <c r="O85" i="6" s="1"/>
  <c r="L87" i="6" l="1"/>
  <c r="H87" i="6"/>
  <c r="E88" i="6"/>
  <c r="I88" i="6"/>
  <c r="D88" i="6"/>
  <c r="F88" i="6" s="1"/>
  <c r="G88" i="6" s="1"/>
  <c r="J88" i="6"/>
  <c r="A90" i="6"/>
  <c r="B89" i="6"/>
  <c r="M86" i="6"/>
  <c r="N86" i="6"/>
  <c r="O86" i="6" s="1"/>
  <c r="E89" i="6" l="1"/>
  <c r="I89" i="6"/>
  <c r="J89" i="6"/>
  <c r="D89" i="6"/>
  <c r="F89" i="6" s="1"/>
  <c r="G89" i="6" s="1"/>
  <c r="K88" i="6"/>
  <c r="L88" i="6" s="1"/>
  <c r="B90" i="6"/>
  <c r="A91" i="6"/>
  <c r="H88" i="6"/>
  <c r="N87" i="6"/>
  <c r="O87" i="6" s="1"/>
  <c r="M87" i="6"/>
  <c r="K89" i="6" l="1"/>
  <c r="N88" i="6"/>
  <c r="O88" i="6" s="1"/>
  <c r="M88" i="6"/>
  <c r="L89" i="6"/>
  <c r="H89" i="6"/>
  <c r="A92" i="6"/>
  <c r="B91" i="6"/>
  <c r="E90" i="6"/>
  <c r="I90" i="6"/>
  <c r="D90" i="6"/>
  <c r="J90" i="6"/>
  <c r="K90" i="6" l="1"/>
  <c r="F90" i="6"/>
  <c r="G90" i="6" s="1"/>
  <c r="I91" i="6"/>
  <c r="J91" i="6"/>
  <c r="E91" i="6"/>
  <c r="D91" i="6"/>
  <c r="B92" i="6"/>
  <c r="A93" i="6"/>
  <c r="M89" i="6"/>
  <c r="N89" i="6"/>
  <c r="O89" i="6" s="1"/>
  <c r="L90" i="6" l="1"/>
  <c r="M90" i="6" s="1"/>
  <c r="K91" i="6"/>
  <c r="H90" i="6"/>
  <c r="F91" i="6"/>
  <c r="G91" i="6" s="1"/>
  <c r="H91" i="6" s="1"/>
  <c r="A94" i="6"/>
  <c r="B93" i="6"/>
  <c r="E92" i="6"/>
  <c r="D92" i="6"/>
  <c r="F92" i="6" s="1"/>
  <c r="G92" i="6" s="1"/>
  <c r="I92" i="6"/>
  <c r="J92" i="6"/>
  <c r="N90" i="6" l="1"/>
  <c r="O90" i="6" s="1"/>
  <c r="L91" i="6"/>
  <c r="N91" i="6" s="1"/>
  <c r="O91" i="6" s="1"/>
  <c r="I93" i="6"/>
  <c r="J93" i="6"/>
  <c r="D93" i="6"/>
  <c r="F93" i="6" s="1"/>
  <c r="G93" i="6" s="1"/>
  <c r="E93" i="6"/>
  <c r="H92" i="6"/>
  <c r="K92" i="6"/>
  <c r="L92" i="6" s="1"/>
  <c r="B94" i="6"/>
  <c r="A95" i="6"/>
  <c r="K93" i="6" l="1"/>
  <c r="M91" i="6"/>
  <c r="M92" i="6"/>
  <c r="N92" i="6"/>
  <c r="O92" i="6" s="1"/>
  <c r="A96" i="6"/>
  <c r="B95" i="6"/>
  <c r="L93" i="6"/>
  <c r="H93" i="6"/>
  <c r="I94" i="6"/>
  <c r="E94" i="6"/>
  <c r="D94" i="6"/>
  <c r="J94" i="6"/>
  <c r="K94" i="6" l="1"/>
  <c r="M93" i="6"/>
  <c r="N93" i="6"/>
  <c r="O93" i="6" s="1"/>
  <c r="J95" i="6"/>
  <c r="D95" i="6"/>
  <c r="E95" i="6"/>
  <c r="I95" i="6"/>
  <c r="K95" i="6" s="1"/>
  <c r="B96" i="6"/>
  <c r="A97" i="6"/>
  <c r="F94" i="6"/>
  <c r="G94" i="6" s="1"/>
  <c r="A98" i="6" l="1"/>
  <c r="B97" i="6"/>
  <c r="F95" i="6"/>
  <c r="G95" i="6" s="1"/>
  <c r="I96" i="6"/>
  <c r="J96" i="6"/>
  <c r="E96" i="6"/>
  <c r="D96" i="6"/>
  <c r="F96" i="6" s="1"/>
  <c r="G96" i="6" s="1"/>
  <c r="H94" i="6"/>
  <c r="L94" i="6"/>
  <c r="K96" i="6" l="1"/>
  <c r="L96" i="6" s="1"/>
  <c r="H95" i="6"/>
  <c r="L95" i="6"/>
  <c r="J97" i="6"/>
  <c r="D97" i="6"/>
  <c r="F97" i="6" s="1"/>
  <c r="G97" i="6" s="1"/>
  <c r="E97" i="6"/>
  <c r="I97" i="6"/>
  <c r="H96" i="6"/>
  <c r="M94" i="6"/>
  <c r="N94" i="6"/>
  <c r="O94" i="6" s="1"/>
  <c r="B98" i="6"/>
  <c r="A99" i="6"/>
  <c r="K97" i="6" l="1"/>
  <c r="L97" i="6" s="1"/>
  <c r="H97" i="6"/>
  <c r="N96" i="6"/>
  <c r="O96" i="6" s="1"/>
  <c r="M96" i="6"/>
  <c r="A100" i="6"/>
  <c r="B99" i="6"/>
  <c r="J98" i="6"/>
  <c r="D98" i="6"/>
  <c r="F98" i="6" s="1"/>
  <c r="G98" i="6" s="1"/>
  <c r="I98" i="6"/>
  <c r="E98" i="6"/>
  <c r="M95" i="6"/>
  <c r="N95" i="6"/>
  <c r="O95" i="6" s="1"/>
  <c r="H98" i="6" l="1"/>
  <c r="J99" i="6"/>
  <c r="E99" i="6"/>
  <c r="I99" i="6"/>
  <c r="D99" i="6"/>
  <c r="F99" i="6" s="1"/>
  <c r="G99" i="6" s="1"/>
  <c r="B100" i="6"/>
  <c r="A101" i="6"/>
  <c r="B101" i="6" s="1"/>
  <c r="N97" i="6"/>
  <c r="O97" i="6" s="1"/>
  <c r="M97" i="6"/>
  <c r="K98" i="6"/>
  <c r="L98" i="6" s="1"/>
  <c r="K99" i="6" l="1"/>
  <c r="L99" i="6" s="1"/>
  <c r="M98" i="6"/>
  <c r="N98" i="6"/>
  <c r="O98" i="6" s="1"/>
  <c r="E101" i="6"/>
  <c r="I101" i="6"/>
  <c r="J101" i="6"/>
  <c r="D101" i="6"/>
  <c r="F101" i="6" s="1"/>
  <c r="G101" i="6" s="1"/>
  <c r="R101" i="6"/>
  <c r="I100" i="6"/>
  <c r="J100" i="6"/>
  <c r="D100" i="6"/>
  <c r="F100" i="6" s="1"/>
  <c r="G100" i="6" s="1"/>
  <c r="E100" i="6"/>
  <c r="H99" i="6"/>
  <c r="K100" i="6" l="1"/>
  <c r="H101" i="6"/>
  <c r="M99" i="6"/>
  <c r="N99" i="6"/>
  <c r="O99" i="6" s="1"/>
  <c r="K101" i="6"/>
  <c r="L101" i="6" s="1"/>
  <c r="H100" i="6"/>
  <c r="L100" i="6"/>
  <c r="N101" i="6" l="1"/>
  <c r="O101" i="6" s="1"/>
  <c r="M101" i="6"/>
  <c r="M100" i="6"/>
  <c r="N100" i="6"/>
  <c r="O100" i="6" s="1"/>
</calcChain>
</file>

<file path=xl/sharedStrings.xml><?xml version="1.0" encoding="utf-8"?>
<sst xmlns="http://schemas.openxmlformats.org/spreadsheetml/2006/main" count="618" uniqueCount="340">
  <si>
    <t>This spreadsheet guides the User through the design process for a CONTINUOUS CONDUCTION MODE PFC BOOST converter using the UCC28019 controller.</t>
  </si>
  <si>
    <t>1. The Macros must be ENABLED.</t>
  </si>
  <si>
    <t>2. The Analysis ToolPak Add-In must be checked.</t>
  </si>
  <si>
    <t>• This feature can be found in the Tools Menu.</t>
  </si>
  <si>
    <t>• Select Add-Ins</t>
  </si>
  <si>
    <t>• Check the box next to Analysis ToolPak</t>
  </si>
  <si>
    <t>3. Enter the desired design parameters in the YELLOW shaded boxes</t>
  </si>
  <si>
    <t>5. Actual standard values must be entered for the spreadsheet to calculate the gain-phase plots.</t>
  </si>
  <si>
    <t>Design Specifications</t>
  </si>
  <si>
    <t>Description</t>
  </si>
  <si>
    <t xml:space="preserve">Minimum </t>
  </si>
  <si>
    <t>Maximum</t>
  </si>
  <si>
    <t xml:space="preserve">Typical </t>
  </si>
  <si>
    <t>Input Voltage</t>
  </si>
  <si>
    <t>Output Voltage</t>
  </si>
  <si>
    <t>Allowable Output Voltage
Transients (90% Load Step)</t>
  </si>
  <si>
    <t>Unit</t>
  </si>
  <si>
    <t>V</t>
  </si>
  <si>
    <t>W</t>
  </si>
  <si>
    <t xml:space="preserve"> </t>
  </si>
  <si>
    <t>kHz</t>
  </si>
  <si>
    <r>
      <t>Output Power (P</t>
    </r>
    <r>
      <rPr>
        <b/>
        <vertAlign val="subscript"/>
        <sz val="12"/>
        <rFont val="Arial"/>
        <family val="2"/>
      </rPr>
      <t>OUT</t>
    </r>
    <r>
      <rPr>
        <b/>
        <sz val="12"/>
        <rFont val="Arial"/>
        <family val="2"/>
      </rPr>
      <t>)</t>
    </r>
  </si>
  <si>
    <r>
      <t>Inductor (L</t>
    </r>
    <r>
      <rPr>
        <b/>
        <vertAlign val="subscript"/>
        <sz val="12"/>
        <rFont val="Arial"/>
        <family val="2"/>
      </rPr>
      <t>OUT</t>
    </r>
    <r>
      <rPr>
        <b/>
        <sz val="12"/>
        <rFont val="Arial"/>
        <family val="2"/>
      </rPr>
      <t>) Switching Frequency</t>
    </r>
  </si>
  <si>
    <t>Full Load Efficiency</t>
  </si>
  <si>
    <r>
      <t>P</t>
    </r>
    <r>
      <rPr>
        <b/>
        <vertAlign val="subscript"/>
        <sz val="12"/>
        <rFont val="Arial"/>
        <family val="2"/>
      </rPr>
      <t>BUDGET</t>
    </r>
  </si>
  <si>
    <r>
      <t>V</t>
    </r>
    <r>
      <rPr>
        <b/>
        <vertAlign val="subscript"/>
        <sz val="12"/>
        <rFont val="Arial"/>
        <family val="2"/>
      </rPr>
      <t>RDSON</t>
    </r>
  </si>
  <si>
    <t>a1</t>
  </si>
  <si>
    <t>Variable</t>
  </si>
  <si>
    <r>
      <t>T1 Transformer Turns Ratio=N</t>
    </r>
    <r>
      <rPr>
        <b/>
        <vertAlign val="subscript"/>
        <sz val="12"/>
        <rFont val="Arial"/>
        <family val="2"/>
      </rPr>
      <t>P</t>
    </r>
    <r>
      <rPr>
        <b/>
        <sz val="12"/>
        <rFont val="Arial"/>
        <family val="2"/>
      </rPr>
      <t>/N</t>
    </r>
    <r>
      <rPr>
        <b/>
        <vertAlign val="subscript"/>
        <sz val="12"/>
        <rFont val="Arial"/>
        <family val="2"/>
      </rPr>
      <t>S</t>
    </r>
  </si>
  <si>
    <t>Maximum Duty Cycle Nominal</t>
  </si>
  <si>
    <t>Typical Duty Cycle</t>
  </si>
  <si>
    <r>
      <t>D</t>
    </r>
    <r>
      <rPr>
        <b/>
        <vertAlign val="subscript"/>
        <sz val="12"/>
        <rFont val="Arial"/>
        <family val="2"/>
      </rPr>
      <t>MAX</t>
    </r>
  </si>
  <si>
    <r>
      <t>D</t>
    </r>
    <r>
      <rPr>
        <b/>
        <vertAlign val="subscript"/>
        <sz val="12"/>
        <rFont val="Arial"/>
        <family val="2"/>
      </rPr>
      <t>TYP</t>
    </r>
  </si>
  <si>
    <t>Inductor Ripple Current</t>
  </si>
  <si>
    <t>A</t>
  </si>
  <si>
    <r>
      <t>L</t>
    </r>
    <r>
      <rPr>
        <b/>
        <vertAlign val="subscript"/>
        <sz val="12"/>
        <rFont val="Arial"/>
        <family val="2"/>
      </rPr>
      <t>MAG</t>
    </r>
  </si>
  <si>
    <t>mH</t>
  </si>
  <si>
    <r>
      <t>I</t>
    </r>
    <r>
      <rPr>
        <b/>
        <vertAlign val="subscript"/>
        <sz val="12"/>
        <rFont val="Arial"/>
        <family val="2"/>
      </rPr>
      <t>PS</t>
    </r>
  </si>
  <si>
    <r>
      <t>I</t>
    </r>
    <r>
      <rPr>
        <b/>
        <vertAlign val="subscript"/>
        <sz val="12"/>
        <rFont val="Arial"/>
        <family val="2"/>
      </rPr>
      <t>MS</t>
    </r>
  </si>
  <si>
    <r>
      <t>I</t>
    </r>
    <r>
      <rPr>
        <b/>
        <vertAlign val="subscript"/>
        <sz val="12"/>
        <rFont val="Arial"/>
        <family val="2"/>
      </rPr>
      <t>SRMS1</t>
    </r>
  </si>
  <si>
    <r>
      <t>I</t>
    </r>
    <r>
      <rPr>
        <b/>
        <vertAlign val="subscript"/>
        <sz val="12"/>
        <rFont val="Arial"/>
        <family val="2"/>
      </rPr>
      <t>MS2</t>
    </r>
  </si>
  <si>
    <r>
      <t>I</t>
    </r>
    <r>
      <rPr>
        <b/>
        <vertAlign val="subscript"/>
        <sz val="12"/>
        <rFont val="Arial"/>
        <family val="2"/>
      </rPr>
      <t>SRMS2</t>
    </r>
  </si>
  <si>
    <r>
      <t>I</t>
    </r>
    <r>
      <rPr>
        <b/>
        <vertAlign val="subscript"/>
        <sz val="12"/>
        <rFont val="Arial"/>
        <family val="2"/>
      </rPr>
      <t>SRMS3</t>
    </r>
  </si>
  <si>
    <r>
      <t>I</t>
    </r>
    <r>
      <rPr>
        <b/>
        <vertAlign val="subscript"/>
        <sz val="12"/>
        <rFont val="Arial"/>
        <family val="2"/>
      </rPr>
      <t>SRMS</t>
    </r>
  </si>
  <si>
    <r>
      <t>dIL</t>
    </r>
    <r>
      <rPr>
        <b/>
        <vertAlign val="subscript"/>
        <sz val="12"/>
        <rFont val="Arial"/>
        <family val="2"/>
      </rPr>
      <t>MAG</t>
    </r>
  </si>
  <si>
    <r>
      <t>I</t>
    </r>
    <r>
      <rPr>
        <b/>
        <vertAlign val="subscript"/>
        <sz val="12"/>
        <rFont val="Arial"/>
        <family val="2"/>
      </rPr>
      <t>PP</t>
    </r>
  </si>
  <si>
    <r>
      <t>I</t>
    </r>
    <r>
      <rPr>
        <b/>
        <vertAlign val="subscript"/>
        <sz val="12"/>
        <rFont val="Arial"/>
        <family val="2"/>
      </rPr>
      <t>MP</t>
    </r>
  </si>
  <si>
    <r>
      <t>I</t>
    </r>
    <r>
      <rPr>
        <b/>
        <vertAlign val="subscript"/>
        <sz val="12"/>
        <rFont val="Arial"/>
        <family val="2"/>
      </rPr>
      <t>MP2</t>
    </r>
  </si>
  <si>
    <r>
      <t>I</t>
    </r>
    <r>
      <rPr>
        <b/>
        <vertAlign val="subscript"/>
        <sz val="12"/>
        <rFont val="Arial"/>
        <family val="2"/>
      </rPr>
      <t>PRMS1</t>
    </r>
  </si>
  <si>
    <r>
      <t>I</t>
    </r>
    <r>
      <rPr>
        <b/>
        <vertAlign val="subscript"/>
        <sz val="12"/>
        <rFont val="Arial"/>
        <family val="2"/>
      </rPr>
      <t>PRMS2</t>
    </r>
  </si>
  <si>
    <r>
      <t>DCR</t>
    </r>
    <r>
      <rPr>
        <b/>
        <vertAlign val="subscript"/>
        <sz val="12"/>
        <rFont val="Arial"/>
        <family val="2"/>
      </rPr>
      <t>P</t>
    </r>
  </si>
  <si>
    <r>
      <t>I</t>
    </r>
    <r>
      <rPr>
        <b/>
        <vertAlign val="subscript"/>
        <sz val="12"/>
        <rFont val="Arial"/>
        <family val="2"/>
      </rPr>
      <t>PRMS</t>
    </r>
  </si>
  <si>
    <r>
      <t>DCR</t>
    </r>
    <r>
      <rPr>
        <b/>
        <vertAlign val="subscript"/>
        <sz val="12"/>
        <rFont val="Arial"/>
        <family val="2"/>
      </rPr>
      <t>S</t>
    </r>
  </si>
  <si>
    <r>
      <t>P</t>
    </r>
    <r>
      <rPr>
        <b/>
        <vertAlign val="subscript"/>
        <sz val="12"/>
        <rFont val="Arial"/>
        <family val="2"/>
      </rPr>
      <t>T1</t>
    </r>
  </si>
  <si>
    <t>Transformer Primary DC Resistance</t>
  </si>
  <si>
    <t>Transformer Secondary DC Resistance</t>
  </si>
  <si>
    <t>Estimated transform loss, 2X Copper Losses</t>
  </si>
  <si>
    <t>Recalculate Power Budget</t>
  </si>
  <si>
    <t>QA, QB, QC, QD FET selection:</t>
  </si>
  <si>
    <r>
      <t>R</t>
    </r>
    <r>
      <rPr>
        <b/>
        <vertAlign val="subscript"/>
        <sz val="12"/>
        <rFont val="Arial"/>
        <family val="2"/>
      </rPr>
      <t>ds(on)QA</t>
    </r>
  </si>
  <si>
    <t>FET drain to source on resistance</t>
  </si>
  <si>
    <t>FET Specified Coss</t>
  </si>
  <si>
    <t>pF</t>
  </si>
  <si>
    <r>
      <t>C</t>
    </r>
    <r>
      <rPr>
        <b/>
        <vertAlign val="subscript"/>
        <sz val="12"/>
        <rFont val="Arial"/>
        <family val="2"/>
      </rPr>
      <t>OSS_QA_SPEC</t>
    </r>
  </si>
  <si>
    <r>
      <t>V</t>
    </r>
    <r>
      <rPr>
        <b/>
        <vertAlign val="subscript"/>
        <sz val="12"/>
        <rFont val="Arial"/>
        <family val="2"/>
      </rPr>
      <t>dsQA</t>
    </r>
  </si>
  <si>
    <r>
      <t>Calculate average C</t>
    </r>
    <r>
      <rPr>
        <b/>
        <vertAlign val="subscript"/>
        <sz val="12"/>
        <rFont val="Arial"/>
        <family val="2"/>
      </rPr>
      <t xml:space="preserve">OSS </t>
    </r>
  </si>
  <si>
    <r>
      <t>C</t>
    </r>
    <r>
      <rPr>
        <b/>
        <vertAlign val="subscript"/>
        <sz val="12"/>
        <rFont val="Arial"/>
        <family val="2"/>
      </rPr>
      <t>OSS_QA_AVG</t>
    </r>
  </si>
  <si>
    <r>
      <t>P</t>
    </r>
    <r>
      <rPr>
        <b/>
        <vertAlign val="subscript"/>
        <sz val="12"/>
        <rFont val="Arial"/>
        <family val="2"/>
      </rPr>
      <t>QA</t>
    </r>
  </si>
  <si>
    <t xml:space="preserve">Calculate QA losses </t>
  </si>
  <si>
    <r>
      <t>V</t>
    </r>
    <r>
      <rPr>
        <b/>
        <vertAlign val="subscript"/>
        <sz val="12"/>
        <rFont val="Arial"/>
        <family val="2"/>
      </rPr>
      <t>g</t>
    </r>
  </si>
  <si>
    <r>
      <t>QA</t>
    </r>
    <r>
      <rPr>
        <b/>
        <vertAlign val="subscript"/>
        <sz val="12"/>
        <rFont val="Arial"/>
        <family val="2"/>
      </rPr>
      <t>g</t>
    </r>
  </si>
  <si>
    <t>nC</t>
  </si>
  <si>
    <t>Primary Magnetizing Inductance</t>
  </si>
  <si>
    <r>
      <t>L</t>
    </r>
    <r>
      <rPr>
        <b/>
        <vertAlign val="subscript"/>
        <sz val="12"/>
        <rFont val="Arial"/>
        <family val="2"/>
      </rPr>
      <t>S</t>
    </r>
  </si>
  <si>
    <t>uH</t>
  </si>
  <si>
    <r>
      <t>DCR</t>
    </r>
    <r>
      <rPr>
        <b/>
        <vertAlign val="subscript"/>
        <sz val="12"/>
        <rFont val="Arial"/>
        <family val="2"/>
      </rPr>
      <t>LS</t>
    </r>
  </si>
  <si>
    <r>
      <t>L</t>
    </r>
    <r>
      <rPr>
        <b/>
        <vertAlign val="subscript"/>
        <sz val="12"/>
        <rFont val="Arial"/>
        <family val="2"/>
      </rPr>
      <t>S</t>
    </r>
    <r>
      <rPr>
        <b/>
        <sz val="12"/>
        <rFont val="Arial"/>
        <family val="2"/>
      </rPr>
      <t xml:space="preserve"> DC Resistance</t>
    </r>
  </si>
  <si>
    <r>
      <t>Estimate L</t>
    </r>
    <r>
      <rPr>
        <b/>
        <vertAlign val="subscript"/>
        <sz val="12"/>
        <rFont val="Arial"/>
        <family val="2"/>
      </rPr>
      <t xml:space="preserve">S </t>
    </r>
    <r>
      <rPr>
        <b/>
        <sz val="12"/>
        <rFont val="Arial"/>
        <family val="2"/>
      </rPr>
      <t>power loss (P</t>
    </r>
    <r>
      <rPr>
        <b/>
        <vertAlign val="subscript"/>
        <sz val="12"/>
        <rFont val="Arial"/>
        <family val="2"/>
      </rPr>
      <t>LS</t>
    </r>
    <r>
      <rPr>
        <b/>
        <sz val="12"/>
        <rFont val="Arial"/>
        <family val="2"/>
      </rPr>
      <t xml:space="preserve">) </t>
    </r>
  </si>
  <si>
    <r>
      <t>P</t>
    </r>
    <r>
      <rPr>
        <b/>
        <vertAlign val="subscript"/>
        <sz val="12"/>
        <rFont val="Arial"/>
        <family val="2"/>
      </rPr>
      <t>LS</t>
    </r>
  </si>
  <si>
    <r>
      <t>L</t>
    </r>
    <r>
      <rPr>
        <b/>
        <vertAlign val="subscript"/>
        <sz val="12"/>
        <rFont val="Arial"/>
        <family val="2"/>
      </rPr>
      <t>OUT</t>
    </r>
  </si>
  <si>
    <r>
      <t>DCR</t>
    </r>
    <r>
      <rPr>
        <b/>
        <vertAlign val="subscript"/>
        <sz val="12"/>
        <rFont val="Arial"/>
        <family val="2"/>
      </rPr>
      <t>LOUT</t>
    </r>
  </si>
  <si>
    <r>
      <t>Estimate L</t>
    </r>
    <r>
      <rPr>
        <b/>
        <vertAlign val="subscript"/>
        <sz val="12"/>
        <rFont val="Arial"/>
        <family val="2"/>
      </rPr>
      <t xml:space="preserve">OUT </t>
    </r>
    <r>
      <rPr>
        <b/>
        <sz val="12"/>
        <rFont val="Arial"/>
        <family val="2"/>
      </rPr>
      <t>power loss</t>
    </r>
  </si>
  <si>
    <r>
      <t>P</t>
    </r>
    <r>
      <rPr>
        <b/>
        <vertAlign val="subscript"/>
        <sz val="12"/>
        <rFont val="Arial"/>
        <family val="2"/>
      </rPr>
      <t>LOUT</t>
    </r>
  </si>
  <si>
    <r>
      <t>Calculate L</t>
    </r>
    <r>
      <rPr>
        <b/>
        <vertAlign val="subscript"/>
        <sz val="12"/>
        <rFont val="Arial"/>
        <family val="2"/>
      </rPr>
      <t>OUT</t>
    </r>
    <r>
      <rPr>
        <b/>
        <sz val="12"/>
        <rFont val="Arial"/>
        <family val="2"/>
      </rPr>
      <t xml:space="preserve"> RMS Current</t>
    </r>
  </si>
  <si>
    <r>
      <t>I</t>
    </r>
    <r>
      <rPr>
        <b/>
        <vertAlign val="subscript"/>
        <sz val="12"/>
        <rFont val="Arial"/>
        <family val="2"/>
      </rPr>
      <t>LOUT_RMS</t>
    </r>
  </si>
  <si>
    <t>Calculated Shim Inductance</t>
  </si>
  <si>
    <t>Calculate Output Inductance</t>
  </si>
  <si>
    <r>
      <t>t</t>
    </r>
    <r>
      <rPr>
        <b/>
        <vertAlign val="subscript"/>
        <sz val="12"/>
        <rFont val="Arial"/>
        <family val="2"/>
      </rPr>
      <t>HU</t>
    </r>
  </si>
  <si>
    <r>
      <t>Time it takes L</t>
    </r>
    <r>
      <rPr>
        <b/>
        <vertAlign val="subscript"/>
        <sz val="12"/>
        <rFont val="Arial"/>
        <family val="2"/>
      </rPr>
      <t xml:space="preserve">OUT </t>
    </r>
    <r>
      <rPr>
        <b/>
        <sz val="12"/>
        <rFont val="Arial"/>
        <family val="2"/>
      </rPr>
      <t>to change 90% of its full load current</t>
    </r>
  </si>
  <si>
    <t>us</t>
  </si>
  <si>
    <r>
      <t>ESR</t>
    </r>
    <r>
      <rPr>
        <b/>
        <vertAlign val="subscript"/>
        <sz val="12"/>
        <rFont val="Arial"/>
        <family val="2"/>
      </rPr>
      <t>COUT</t>
    </r>
  </si>
  <si>
    <r>
      <t>C</t>
    </r>
    <r>
      <rPr>
        <b/>
        <vertAlign val="subscript"/>
        <sz val="12"/>
        <rFont val="Arial"/>
        <family val="2"/>
      </rPr>
      <t>OUT</t>
    </r>
  </si>
  <si>
    <t>uF</t>
  </si>
  <si>
    <t>n</t>
  </si>
  <si>
    <t>Single Capacitor Capacitance</t>
  </si>
  <si>
    <t>Single Capacitor ESR</t>
  </si>
  <si>
    <t>Total Output Capacitance</t>
  </si>
  <si>
    <r>
      <t>I</t>
    </r>
    <r>
      <rPr>
        <b/>
        <vertAlign val="subscript"/>
        <sz val="12"/>
        <rFont val="Arial"/>
        <family val="2"/>
      </rPr>
      <t>COUT_RMS</t>
    </r>
  </si>
  <si>
    <t>Output Capacitance RMS Current</t>
  </si>
  <si>
    <t>Calculate Output Capacitance Loss</t>
  </si>
  <si>
    <r>
      <t>P</t>
    </r>
    <r>
      <rPr>
        <b/>
        <vertAlign val="subscript"/>
        <sz val="12"/>
        <rFont val="Arial"/>
        <family val="2"/>
      </rPr>
      <t>COUT</t>
    </r>
  </si>
  <si>
    <r>
      <t>V</t>
    </r>
    <r>
      <rPr>
        <b/>
        <vertAlign val="subscript"/>
        <sz val="12"/>
        <rFont val="Arial"/>
        <family val="2"/>
      </rPr>
      <t>DROP</t>
    </r>
  </si>
  <si>
    <t>Minimum Input During Line Dropout</t>
  </si>
  <si>
    <r>
      <t>C</t>
    </r>
    <r>
      <rPr>
        <b/>
        <vertAlign val="subscript"/>
        <sz val="12"/>
        <rFont val="Arial"/>
        <family val="2"/>
      </rPr>
      <t>IN</t>
    </r>
  </si>
  <si>
    <t>Calculate Minimum Input Capacitance</t>
  </si>
  <si>
    <r>
      <t>High Frequency C</t>
    </r>
    <r>
      <rPr>
        <b/>
        <vertAlign val="subscript"/>
        <sz val="12"/>
        <rFont val="Arial"/>
        <family val="2"/>
      </rPr>
      <t>IN</t>
    </r>
    <r>
      <rPr>
        <b/>
        <sz val="12"/>
        <rFont val="Arial"/>
        <family val="2"/>
      </rPr>
      <t xml:space="preserve"> RMS Current</t>
    </r>
  </si>
  <si>
    <r>
      <t>I</t>
    </r>
    <r>
      <rPr>
        <b/>
        <vertAlign val="subscript"/>
        <sz val="12"/>
        <rFont val="Arial"/>
        <family val="2"/>
      </rPr>
      <t>CINRMS</t>
    </r>
  </si>
  <si>
    <r>
      <t>ESR</t>
    </r>
    <r>
      <rPr>
        <b/>
        <vertAlign val="subscript"/>
        <sz val="12"/>
        <rFont val="Arial"/>
        <family val="2"/>
      </rPr>
      <t>CIN</t>
    </r>
  </si>
  <si>
    <r>
      <t>P</t>
    </r>
    <r>
      <rPr>
        <b/>
        <vertAlign val="subscript"/>
        <sz val="12"/>
        <rFont val="Arial"/>
        <family val="2"/>
      </rPr>
      <t>CIN</t>
    </r>
  </si>
  <si>
    <t>Select FETs QE and QF:</t>
  </si>
  <si>
    <r>
      <t>QE</t>
    </r>
    <r>
      <rPr>
        <b/>
        <vertAlign val="subscript"/>
        <sz val="12"/>
        <rFont val="Arial"/>
        <family val="2"/>
      </rPr>
      <t>g</t>
    </r>
  </si>
  <si>
    <r>
      <t>R</t>
    </r>
    <r>
      <rPr>
        <b/>
        <vertAlign val="subscript"/>
        <sz val="12"/>
        <rFont val="Arial"/>
        <family val="2"/>
      </rPr>
      <t>ds(on)QE</t>
    </r>
  </si>
  <si>
    <t>QE and QF Gate Charge</t>
  </si>
  <si>
    <t xml:space="preserve">Set Initial Power Budget </t>
  </si>
  <si>
    <t>Estimated FET Voltage Drop</t>
  </si>
  <si>
    <t>QA FET Gate Charge</t>
  </si>
  <si>
    <r>
      <t>Voltage Across Drain to Source Where C</t>
    </r>
    <r>
      <rPr>
        <b/>
        <vertAlign val="subscript"/>
        <sz val="12"/>
        <rFont val="Arial"/>
        <family val="2"/>
      </rPr>
      <t xml:space="preserve">OSS </t>
    </r>
    <r>
      <rPr>
        <b/>
        <sz val="12"/>
        <color indexed="8"/>
        <rFont val="Arial"/>
        <family val="2"/>
      </rPr>
      <t>was Measured, Data Sheet Parameter</t>
    </r>
  </si>
  <si>
    <r>
      <t>V</t>
    </r>
    <r>
      <rPr>
        <b/>
        <vertAlign val="subscript"/>
        <sz val="12"/>
        <rFont val="Arial"/>
        <family val="2"/>
      </rPr>
      <t>dsQE</t>
    </r>
  </si>
  <si>
    <r>
      <t>V</t>
    </r>
    <r>
      <rPr>
        <b/>
        <vertAlign val="subscript"/>
        <sz val="12"/>
        <rFont val="Arial"/>
        <family val="2"/>
      </rPr>
      <t>dsQE_SPEC</t>
    </r>
  </si>
  <si>
    <r>
      <t>Voltage Specified at C</t>
    </r>
    <r>
      <rPr>
        <b/>
        <vertAlign val="subscript"/>
        <sz val="12"/>
        <rFont val="Arial"/>
        <family val="2"/>
      </rPr>
      <t>OSS</t>
    </r>
    <r>
      <rPr>
        <b/>
        <sz val="12"/>
        <rFont val="Arial"/>
        <family val="2"/>
      </rPr>
      <t xml:space="preserve"> Specified in the Data Sheet</t>
    </r>
  </si>
  <si>
    <r>
      <t>C</t>
    </r>
    <r>
      <rPr>
        <b/>
        <vertAlign val="subscript"/>
        <sz val="12"/>
        <rFont val="Arial"/>
        <family val="2"/>
      </rPr>
      <t>OSS_SPEC</t>
    </r>
  </si>
  <si>
    <r>
      <t>Specified QE and QF C</t>
    </r>
    <r>
      <rPr>
        <b/>
        <vertAlign val="subscript"/>
        <sz val="12"/>
        <rFont val="Arial"/>
        <family val="2"/>
      </rPr>
      <t xml:space="preserve">OSS </t>
    </r>
    <r>
      <rPr>
        <b/>
        <sz val="12"/>
        <rFont val="Arial"/>
        <family val="2"/>
      </rPr>
      <t>From the Data Sheet</t>
    </r>
  </si>
  <si>
    <r>
      <t>C</t>
    </r>
    <r>
      <rPr>
        <b/>
        <vertAlign val="subscript"/>
        <sz val="12"/>
        <rFont val="Arial"/>
        <family val="2"/>
      </rPr>
      <t>OSS_QE_AVG</t>
    </r>
  </si>
  <si>
    <r>
      <t>Average QE and QF C</t>
    </r>
    <r>
      <rPr>
        <b/>
        <vertAlign val="subscript"/>
        <sz val="12"/>
        <rFont val="Arial"/>
        <family val="2"/>
      </rPr>
      <t>OSS</t>
    </r>
  </si>
  <si>
    <t>QE and QF RMS Current</t>
  </si>
  <si>
    <r>
      <t>I</t>
    </r>
    <r>
      <rPr>
        <b/>
        <vertAlign val="subscript"/>
        <sz val="12"/>
        <rFont val="Arial"/>
        <family val="2"/>
      </rPr>
      <t>QE_RMS</t>
    </r>
  </si>
  <si>
    <r>
      <t>QE</t>
    </r>
    <r>
      <rPr>
        <b/>
        <vertAlign val="subscript"/>
        <sz val="12"/>
        <rFont val="Arial"/>
        <family val="2"/>
      </rPr>
      <t>MILLER_MAX</t>
    </r>
  </si>
  <si>
    <r>
      <t>QE</t>
    </r>
    <r>
      <rPr>
        <b/>
        <vertAlign val="subscript"/>
        <sz val="12"/>
        <rFont val="Arial"/>
        <family val="2"/>
      </rPr>
      <t>MILLER_MIN</t>
    </r>
  </si>
  <si>
    <t>Maximum Gate Charge at the end of the Miller Plateau</t>
  </si>
  <si>
    <t>Peak Current Gate of QE and QF is Driven with</t>
  </si>
  <si>
    <r>
      <t>I</t>
    </r>
    <r>
      <rPr>
        <b/>
        <vertAlign val="subscript"/>
        <sz val="12"/>
        <rFont val="Arial"/>
        <family val="2"/>
      </rPr>
      <t>P</t>
    </r>
  </si>
  <si>
    <r>
      <t>t</t>
    </r>
    <r>
      <rPr>
        <b/>
        <vertAlign val="subscript"/>
        <sz val="12"/>
        <rFont val="Arial"/>
        <family val="2"/>
      </rPr>
      <t>r</t>
    </r>
    <r>
      <rPr>
        <b/>
        <sz val="12"/>
        <rFont val="Arial"/>
        <family val="2"/>
      </rPr>
      <t xml:space="preserve"> ≈ t</t>
    </r>
    <r>
      <rPr>
        <b/>
        <vertAlign val="subscript"/>
        <sz val="12"/>
        <rFont val="Arial"/>
        <family val="2"/>
      </rPr>
      <t>f</t>
    </r>
  </si>
  <si>
    <t>ns</t>
  </si>
  <si>
    <t>Estimate QE FET Losses</t>
  </si>
  <si>
    <r>
      <t>P</t>
    </r>
    <r>
      <rPr>
        <b/>
        <vertAlign val="subscript"/>
        <sz val="12"/>
        <rFont val="Arial"/>
        <family val="2"/>
      </rPr>
      <t>QE</t>
    </r>
  </si>
  <si>
    <t>Maximum Voltage Across QE and QF</t>
  </si>
  <si>
    <t>a2</t>
  </si>
  <si>
    <r>
      <t>Select CT and Enter Turns Ratio a2 = I</t>
    </r>
    <r>
      <rPr>
        <b/>
        <vertAlign val="subscript"/>
        <sz val="12"/>
        <rFont val="Arial"/>
        <family val="2"/>
      </rPr>
      <t>P</t>
    </r>
    <r>
      <rPr>
        <b/>
        <sz val="12"/>
        <rFont val="Arial"/>
        <family val="2"/>
      </rPr>
      <t>/I</t>
    </r>
    <r>
      <rPr>
        <b/>
        <vertAlign val="subscript"/>
        <sz val="12"/>
        <rFont val="Arial"/>
        <family val="2"/>
      </rPr>
      <t>S</t>
    </r>
  </si>
  <si>
    <t>Std. Resistors</t>
  </si>
  <si>
    <t>Capacitors</t>
  </si>
  <si>
    <t>Enter resistor value</t>
  </si>
  <si>
    <t>E6</t>
  </si>
  <si>
    <t>E96</t>
  </si>
  <si>
    <t>Cap value</t>
  </si>
  <si>
    <t>Closest E6 Value</t>
  </si>
  <si>
    <t>Closest E12 Value</t>
  </si>
  <si>
    <t>C values up to 10nF</t>
  </si>
  <si>
    <t>Closest E24 Value</t>
  </si>
  <si>
    <t>Closest E48 Value</t>
  </si>
  <si>
    <t>Closest E96 Value</t>
  </si>
  <si>
    <t>E12</t>
  </si>
  <si>
    <t>C values greater than 10nF</t>
  </si>
  <si>
    <t>E24</t>
  </si>
  <si>
    <t>E48</t>
  </si>
  <si>
    <r>
      <t>R</t>
    </r>
    <r>
      <rPr>
        <b/>
        <vertAlign val="subscript"/>
        <sz val="12"/>
        <rFont val="Arial"/>
        <family val="2"/>
      </rPr>
      <t>S</t>
    </r>
  </si>
  <si>
    <t>Calculate Current Sense Resistor</t>
  </si>
  <si>
    <t>Ω</t>
  </si>
  <si>
    <r>
      <t>I</t>
    </r>
    <r>
      <rPr>
        <b/>
        <vertAlign val="subscript"/>
        <sz val="12"/>
        <rFont val="Arial"/>
        <family val="2"/>
      </rPr>
      <t>P1</t>
    </r>
  </si>
  <si>
    <r>
      <t>Calculate nominal peak current (I</t>
    </r>
    <r>
      <rPr>
        <b/>
        <vertAlign val="subscript"/>
        <sz val="12"/>
        <rFont val="Arial"/>
        <family val="2"/>
      </rPr>
      <t>P1</t>
    </r>
    <r>
      <rPr>
        <b/>
        <sz val="12"/>
        <rFont val="Arial"/>
        <family val="2"/>
      </rPr>
      <t>) at V</t>
    </r>
    <r>
      <rPr>
        <b/>
        <vertAlign val="subscript"/>
        <sz val="12"/>
        <rFont val="Arial"/>
        <family val="2"/>
      </rPr>
      <t>INMIN</t>
    </r>
  </si>
  <si>
    <t>Select Current Sense Resistor for Your Design</t>
  </si>
  <si>
    <t>Estimate Rs Power Loss</t>
  </si>
  <si>
    <r>
      <t>P</t>
    </r>
    <r>
      <rPr>
        <b/>
        <vertAlign val="subscript"/>
        <sz val="12"/>
        <rFont val="Arial"/>
        <family val="2"/>
      </rPr>
      <t>RS</t>
    </r>
  </si>
  <si>
    <r>
      <t>V</t>
    </r>
    <r>
      <rPr>
        <b/>
        <vertAlign val="subscript"/>
        <sz val="12"/>
        <rFont val="Arial"/>
        <family val="2"/>
      </rPr>
      <t>DA</t>
    </r>
  </si>
  <si>
    <r>
      <t>Maximum Diode D</t>
    </r>
    <r>
      <rPr>
        <b/>
        <vertAlign val="sub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Reverse Voltage</t>
    </r>
  </si>
  <si>
    <r>
      <t>t</t>
    </r>
    <r>
      <rPr>
        <b/>
        <vertAlign val="subscript"/>
        <sz val="12"/>
        <rFont val="Arial"/>
        <family val="2"/>
      </rPr>
      <t>DELAY</t>
    </r>
  </si>
  <si>
    <t>fr</t>
  </si>
  <si>
    <t>Calculate Resonant Tank Frequency</t>
  </si>
  <si>
    <t>Possible Delay That will Be Required for ZVS</t>
  </si>
  <si>
    <r>
      <t>D</t>
    </r>
    <r>
      <rPr>
        <b/>
        <vertAlign val="subscript"/>
        <sz val="12"/>
        <rFont val="Arial"/>
        <family val="2"/>
      </rPr>
      <t>CLAMP</t>
    </r>
  </si>
  <si>
    <r>
      <t>t</t>
    </r>
    <r>
      <rPr>
        <b/>
        <vertAlign val="subscript"/>
        <sz val="12"/>
        <rFont val="Arial"/>
        <family val="2"/>
      </rPr>
      <t>DELAY</t>
    </r>
    <r>
      <rPr>
        <b/>
        <sz val="12"/>
        <rFont val="Arial"/>
        <family val="2"/>
      </rPr>
      <t xml:space="preserve"> will act as a duty cycle clamp</t>
    </r>
  </si>
  <si>
    <t>Switching Cycle Period</t>
  </si>
  <si>
    <t>ts</t>
  </si>
  <si>
    <t>Shim Inductance Used</t>
  </si>
  <si>
    <t>Output Inductance Used</t>
  </si>
  <si>
    <t>Selecting Power Transformer (T1)</t>
  </si>
  <si>
    <t>Number of Output Capacitors Used</t>
  </si>
  <si>
    <t>Input Capacitance Used</t>
  </si>
  <si>
    <r>
      <t>Estimate D</t>
    </r>
    <r>
      <rPr>
        <b/>
        <vertAlign val="subscript"/>
        <sz val="12"/>
        <rFont val="Arial"/>
        <family val="2"/>
      </rPr>
      <t>A</t>
    </r>
    <r>
      <rPr>
        <b/>
        <sz val="12"/>
        <rFont val="Arial"/>
        <family val="2"/>
      </rPr>
      <t xml:space="preserve"> Losses</t>
    </r>
  </si>
  <si>
    <r>
      <t>P</t>
    </r>
    <r>
      <rPr>
        <b/>
        <vertAlign val="subscript"/>
        <sz val="12"/>
        <rFont val="Arial"/>
        <family val="2"/>
      </rPr>
      <t>DA</t>
    </r>
  </si>
  <si>
    <t>V1</t>
  </si>
  <si>
    <r>
      <t>R</t>
    </r>
    <r>
      <rPr>
        <b/>
        <vertAlign val="subscript"/>
        <sz val="12"/>
        <rFont val="Arial"/>
        <family val="2"/>
      </rPr>
      <t>B</t>
    </r>
  </si>
  <si>
    <t>Select Standard Resistor</t>
  </si>
  <si>
    <r>
      <t>R</t>
    </r>
    <r>
      <rPr>
        <b/>
        <vertAlign val="subscript"/>
        <sz val="12"/>
        <rFont val="Arial"/>
        <family val="2"/>
      </rPr>
      <t>A</t>
    </r>
  </si>
  <si>
    <t>Calculated Resistance</t>
  </si>
  <si>
    <r>
      <t>R</t>
    </r>
    <r>
      <rPr>
        <b/>
        <vertAlign val="subscript"/>
        <sz val="12"/>
        <rFont val="Arial"/>
        <family val="2"/>
      </rPr>
      <t>C</t>
    </r>
  </si>
  <si>
    <r>
      <t>R</t>
    </r>
    <r>
      <rPr>
        <b/>
        <vertAlign val="subscript"/>
        <sz val="12"/>
        <rFont val="Arial"/>
        <family val="2"/>
      </rPr>
      <t>I</t>
    </r>
  </si>
  <si>
    <r>
      <t>f</t>
    </r>
    <r>
      <rPr>
        <b/>
        <vertAlign val="subscript"/>
        <sz val="12"/>
        <rFont val="Arial"/>
        <family val="2"/>
      </rPr>
      <t>C</t>
    </r>
  </si>
  <si>
    <t>Voltage Loop Crossover Frequency</t>
  </si>
  <si>
    <r>
      <t>R</t>
    </r>
    <r>
      <rPr>
        <b/>
        <vertAlign val="subscript"/>
        <sz val="12"/>
        <rFont val="Arial"/>
        <family val="2"/>
      </rPr>
      <t>LOAD</t>
    </r>
  </si>
  <si>
    <t>a1*a2*rload/rs</t>
  </si>
  <si>
    <t>Constant</t>
  </si>
  <si>
    <t>n1/d1</t>
  </si>
  <si>
    <t>n1divd1</t>
  </si>
  <si>
    <t>1/d2</t>
  </si>
  <si>
    <t>n1/(d1*d2)</t>
  </si>
  <si>
    <t>a1*a2*rload/rs*(n1/(d1*d2))</t>
  </si>
  <si>
    <t>absolute maximum(a1*a2*rload/rs*(n1/(d1*d2)))</t>
  </si>
  <si>
    <t>n1</t>
  </si>
  <si>
    <t>|Gco(fc)|</t>
  </si>
  <si>
    <r>
      <t>R</t>
    </r>
    <r>
      <rPr>
        <b/>
        <vertAlign val="subscript"/>
        <sz val="12"/>
        <rFont val="Arial"/>
        <family val="2"/>
      </rPr>
      <t>F</t>
    </r>
  </si>
  <si>
    <t>Calculate Feedback Resistor</t>
  </si>
  <si>
    <r>
      <t>C</t>
    </r>
    <r>
      <rPr>
        <b/>
        <vertAlign val="subscript"/>
        <sz val="12"/>
        <rFont val="Arial"/>
        <family val="2"/>
      </rPr>
      <t>Z</t>
    </r>
  </si>
  <si>
    <t>nF</t>
  </si>
  <si>
    <t>Calculate Pole Capacitor</t>
  </si>
  <si>
    <t>Calculate Zero Capacitor</t>
  </si>
  <si>
    <t>mΩ</t>
  </si>
  <si>
    <t>Output Capacitance ESR  ≤</t>
  </si>
  <si>
    <t>Output Capacitance Cout  ≥</t>
  </si>
  <si>
    <t>kΩ</t>
  </si>
  <si>
    <r>
      <t>C</t>
    </r>
    <r>
      <rPr>
        <b/>
        <vertAlign val="subscript"/>
        <sz val="12"/>
        <rFont val="Arial"/>
        <family val="2"/>
      </rPr>
      <t>P</t>
    </r>
  </si>
  <si>
    <t>Cz</t>
  </si>
  <si>
    <t>values up to 10 nF</t>
  </si>
  <si>
    <t>values greater than 10nf</t>
  </si>
  <si>
    <r>
      <t>t</t>
    </r>
    <r>
      <rPr>
        <b/>
        <vertAlign val="subscript"/>
        <sz val="12"/>
        <rFont val="Arial"/>
        <family val="2"/>
      </rPr>
      <t>SS</t>
    </r>
  </si>
  <si>
    <t>Soft Start Time</t>
  </si>
  <si>
    <t>ms</t>
  </si>
  <si>
    <r>
      <t>C</t>
    </r>
    <r>
      <rPr>
        <b/>
        <vertAlign val="subscript"/>
        <sz val="12"/>
        <rFont val="Arial"/>
        <family val="2"/>
      </rPr>
      <t>SS</t>
    </r>
  </si>
  <si>
    <t>values greater than 10 nf</t>
  </si>
  <si>
    <r>
      <t>t</t>
    </r>
    <r>
      <rPr>
        <b/>
        <vertAlign val="subscript"/>
        <sz val="12"/>
        <rFont val="Arial"/>
        <family val="2"/>
      </rPr>
      <t>ABSET</t>
    </r>
  </si>
  <si>
    <r>
      <t>R</t>
    </r>
    <r>
      <rPr>
        <b/>
        <vertAlign val="subscript"/>
        <sz val="12"/>
        <rFont val="Arial"/>
        <family val="2"/>
      </rPr>
      <t>DELAB</t>
    </r>
  </si>
  <si>
    <r>
      <t>R</t>
    </r>
    <r>
      <rPr>
        <b/>
        <vertAlign val="subscript"/>
        <sz val="12"/>
        <rFont val="Arial"/>
        <family val="2"/>
      </rPr>
      <t>DELCD</t>
    </r>
  </si>
  <si>
    <r>
      <t>t</t>
    </r>
    <r>
      <rPr>
        <b/>
        <vertAlign val="subscript"/>
        <sz val="12"/>
        <rFont val="Arial"/>
        <family val="2"/>
      </rPr>
      <t>CDSET</t>
    </r>
  </si>
  <si>
    <r>
      <t>Set to half of t</t>
    </r>
    <r>
      <rPr>
        <b/>
        <vertAlign val="subscript"/>
        <sz val="12"/>
        <rFont val="Arial"/>
        <family val="2"/>
      </rPr>
      <t>ABSET</t>
    </r>
  </si>
  <si>
    <r>
      <t>R</t>
    </r>
    <r>
      <rPr>
        <b/>
        <vertAlign val="subscript"/>
        <sz val="12"/>
        <rFont val="Arial"/>
        <family val="2"/>
      </rPr>
      <t>DELEF</t>
    </r>
  </si>
  <si>
    <t>Setting Minimum on Time</t>
  </si>
  <si>
    <t>Minimum on Time</t>
  </si>
  <si>
    <r>
      <t>t</t>
    </r>
    <r>
      <rPr>
        <b/>
        <vertAlign val="subscript"/>
        <sz val="12"/>
        <rFont val="Arial"/>
        <family val="2"/>
      </rPr>
      <t>MIN</t>
    </r>
  </si>
  <si>
    <r>
      <t>R</t>
    </r>
    <r>
      <rPr>
        <b/>
        <vertAlign val="subscript"/>
        <sz val="12"/>
        <rFont val="Arial"/>
        <family val="2"/>
      </rPr>
      <t>TMIN</t>
    </r>
  </si>
  <si>
    <r>
      <t>Calculate R</t>
    </r>
    <r>
      <rPr>
        <b/>
        <vertAlign val="subscript"/>
        <sz val="12"/>
        <rFont val="Arial"/>
        <family val="2"/>
      </rPr>
      <t>TMIN</t>
    </r>
  </si>
  <si>
    <t>Setup PWM Switching Frequency</t>
  </si>
  <si>
    <r>
      <t>Calculate R</t>
    </r>
    <r>
      <rPr>
        <b/>
        <vertAlign val="subscript"/>
        <sz val="12"/>
        <rFont val="Arial"/>
        <family val="2"/>
      </rPr>
      <t>T</t>
    </r>
    <r>
      <rPr>
        <b/>
        <sz val="12"/>
        <rFont val="Arial"/>
        <family val="2"/>
      </rPr>
      <t xml:space="preserve"> Value</t>
    </r>
  </si>
  <si>
    <r>
      <t>R</t>
    </r>
    <r>
      <rPr>
        <b/>
        <vertAlign val="subscript"/>
        <sz val="12"/>
        <rFont val="Arial"/>
        <family val="2"/>
      </rPr>
      <t>T</t>
    </r>
  </si>
  <si>
    <t>Setup Slope Compensation</t>
  </si>
  <si>
    <t>V/us</t>
  </si>
  <si>
    <r>
      <t>Calculate V</t>
    </r>
    <r>
      <rPr>
        <b/>
        <vertAlign val="subscript"/>
        <sz val="12"/>
        <rFont val="Arial"/>
        <family val="2"/>
      </rPr>
      <t>SLOPE</t>
    </r>
  </si>
  <si>
    <r>
      <t>V</t>
    </r>
    <r>
      <rPr>
        <b/>
        <vertAlign val="subscript"/>
        <sz val="12"/>
        <rFont val="Arial"/>
        <family val="2"/>
      </rPr>
      <t>SLOPE</t>
    </r>
  </si>
  <si>
    <r>
      <t>Calculate R</t>
    </r>
    <r>
      <rPr>
        <b/>
        <vertAlign val="subscript"/>
        <sz val="12"/>
        <rFont val="Arial"/>
        <family val="2"/>
      </rPr>
      <t>SUM</t>
    </r>
  </si>
  <si>
    <r>
      <t>R</t>
    </r>
    <r>
      <rPr>
        <b/>
        <vertAlign val="subscript"/>
        <sz val="12"/>
        <rFont val="Arial"/>
        <family val="2"/>
      </rPr>
      <t>SUM</t>
    </r>
  </si>
  <si>
    <r>
      <t>Voltage across R</t>
    </r>
    <r>
      <rPr>
        <b/>
        <vertAlign val="subscript"/>
        <sz val="12"/>
        <rFont val="Arial"/>
        <family val="2"/>
      </rPr>
      <t>S</t>
    </r>
    <r>
      <rPr>
        <b/>
        <sz val="12"/>
        <rFont val="Arial"/>
        <family val="2"/>
      </rPr>
      <t xml:space="preserve"> at 15% load</t>
    </r>
  </si>
  <si>
    <r>
      <t>V</t>
    </r>
    <r>
      <rPr>
        <b/>
        <vertAlign val="subscript"/>
        <sz val="12"/>
        <rFont val="Arial"/>
        <family val="2"/>
      </rPr>
      <t>RS</t>
    </r>
  </si>
  <si>
    <r>
      <t>R</t>
    </r>
    <r>
      <rPr>
        <b/>
        <vertAlign val="subscript"/>
        <sz val="12"/>
        <rFont val="Arial"/>
        <family val="2"/>
      </rPr>
      <t>G</t>
    </r>
  </si>
  <si>
    <r>
      <t>R</t>
    </r>
    <r>
      <rPr>
        <b/>
        <vertAlign val="subscript"/>
        <sz val="12"/>
        <rFont val="Arial"/>
        <family val="2"/>
      </rPr>
      <t>E</t>
    </r>
  </si>
  <si>
    <r>
      <t>Calculate R</t>
    </r>
    <r>
      <rPr>
        <b/>
        <vertAlign val="subscript"/>
        <sz val="12"/>
        <rFont val="Arial"/>
        <family val="2"/>
      </rPr>
      <t xml:space="preserve">E </t>
    </r>
  </si>
  <si>
    <r>
      <t>Δ</t>
    </r>
    <r>
      <rPr>
        <b/>
        <sz val="12"/>
        <rFont val="Arial"/>
        <family val="2"/>
      </rPr>
      <t>I</t>
    </r>
    <r>
      <rPr>
        <b/>
        <vertAlign val="subscript"/>
        <sz val="12"/>
        <rFont val="Arial"/>
        <family val="2"/>
      </rPr>
      <t>LOUT</t>
    </r>
  </si>
  <si>
    <t>Partial RMS Current</t>
  </si>
  <si>
    <t>Counter</t>
  </si>
  <si>
    <t>Gco n1/d1</t>
  </si>
  <si>
    <t>Gco 1/d2</t>
  </si>
  <si>
    <t>Gco n1/(d1*d2)</t>
  </si>
  <si>
    <t>Gco(f)</t>
  </si>
  <si>
    <t>|Gco(f)|</t>
  </si>
  <si>
    <t>Gc n1/n1</t>
  </si>
  <si>
    <t>Gc 1/n2</t>
  </si>
  <si>
    <t>Gc(f)</t>
  </si>
  <si>
    <t>Gc(f)*Gco(f)</t>
  </si>
  <si>
    <t>TvdB(f)</t>
  </si>
  <si>
    <r>
      <t>ӨT</t>
    </r>
    <r>
      <rPr>
        <vertAlign val="subscript"/>
        <sz val="10"/>
        <rFont val="Arial"/>
        <family val="2"/>
      </rPr>
      <t>V</t>
    </r>
    <r>
      <rPr>
        <sz val="10"/>
        <rFont val="Arial"/>
      </rPr>
      <t>(f)</t>
    </r>
  </si>
  <si>
    <t>frequency</t>
  </si>
  <si>
    <t>TvdB(f)
MathCad Check</t>
  </si>
  <si>
    <r>
      <t>ӨT</t>
    </r>
    <r>
      <rPr>
        <vertAlign val="subscript"/>
        <sz val="10"/>
        <rFont val="Arial"/>
        <family val="2"/>
      </rPr>
      <t>V</t>
    </r>
    <r>
      <rPr>
        <sz val="10"/>
        <rFont val="Arial"/>
      </rPr>
      <t>(f)
MathCAD
Check</t>
    </r>
  </si>
  <si>
    <t>Frequency</t>
  </si>
  <si>
    <t>ӨTv(f)</t>
  </si>
  <si>
    <t>T1 Primary Magnetizing Inductance &gt; or =</t>
  </si>
  <si>
    <r>
      <t>Calculate T1 Secondary RMS Current (I</t>
    </r>
    <r>
      <rPr>
        <b/>
        <vertAlign val="subscript"/>
        <sz val="12"/>
        <rFont val="Arial"/>
        <family val="2"/>
      </rPr>
      <t>SRMS</t>
    </r>
    <r>
      <rPr>
        <b/>
        <sz val="12"/>
        <rFont val="Arial"/>
        <family val="2"/>
      </rPr>
      <t>)</t>
    </r>
  </si>
  <si>
    <r>
      <t>L</t>
    </r>
    <r>
      <rPr>
        <b/>
        <vertAlign val="subscript"/>
        <sz val="12"/>
        <rFont val="Arial"/>
        <family val="2"/>
      </rPr>
      <t>OUT</t>
    </r>
    <r>
      <rPr>
        <b/>
        <sz val="12"/>
        <rFont val="Arial"/>
        <family val="2"/>
      </rPr>
      <t xml:space="preserve"> equivalent series resistance</t>
    </r>
  </si>
  <si>
    <t>Total Equivalent Series Resistance</t>
  </si>
  <si>
    <t>QE and QF on Resistance</t>
  </si>
  <si>
    <t>Minimum Gate Charge at the beginning of the Miller Plateau</t>
  </si>
  <si>
    <r>
      <t>Approximate QE and QF V</t>
    </r>
    <r>
      <rPr>
        <b/>
        <vertAlign val="subscript"/>
        <sz val="12"/>
        <rFont val="Arial"/>
        <family val="2"/>
      </rPr>
      <t>ds</t>
    </r>
    <r>
      <rPr>
        <b/>
        <sz val="12"/>
        <rFont val="Arial"/>
        <family val="2"/>
      </rPr>
      <t xml:space="preserve"> Rise and Fall Times</t>
    </r>
  </si>
  <si>
    <t>Equivalent Series Resistance</t>
  </si>
  <si>
    <r>
      <t>Estimate C</t>
    </r>
    <r>
      <rPr>
        <b/>
        <vertAlign val="subscript"/>
        <sz val="12"/>
        <rFont val="Arial"/>
        <family val="2"/>
      </rPr>
      <t>IN</t>
    </r>
    <r>
      <rPr>
        <b/>
        <sz val="12"/>
        <rFont val="Arial"/>
        <family val="2"/>
      </rPr>
      <t xml:space="preserve"> Power Dissipation</t>
    </r>
  </si>
  <si>
    <t>Programmed Voltage Reference, Needs to be &lt; 5V</t>
  </si>
  <si>
    <t>Load Impedance at 10% Load</t>
  </si>
  <si>
    <t>Calculate Soft Start Capacitor</t>
  </si>
  <si>
    <t>Calculate 1/4 LC Tank Frequency and set AB Initial Delay</t>
  </si>
  <si>
    <t>Calculate AB timing resistor</t>
  </si>
  <si>
    <r>
      <t>Set Initial CD delay to AB Delay t</t>
    </r>
    <r>
      <rPr>
        <b/>
        <vertAlign val="subscript"/>
        <sz val="12"/>
        <rFont val="Arial"/>
        <family val="2"/>
      </rPr>
      <t>ABSET</t>
    </r>
    <r>
      <rPr>
        <b/>
        <sz val="12"/>
        <rFont val="Arial"/>
        <family val="2"/>
      </rPr>
      <t xml:space="preserve"> = t</t>
    </r>
    <r>
      <rPr>
        <b/>
        <vertAlign val="subscript"/>
        <sz val="12"/>
        <rFont val="Arial"/>
        <family val="2"/>
      </rPr>
      <t>CDSET</t>
    </r>
  </si>
  <si>
    <r>
      <t>Calculate Magnetizing Current during I</t>
    </r>
    <r>
      <rPr>
        <b/>
        <vertAlign val="subscript"/>
        <sz val="12"/>
        <rFont val="Arial"/>
        <family val="2"/>
      </rPr>
      <t>LOUT</t>
    </r>
    <r>
      <rPr>
        <b/>
        <sz val="12"/>
        <rFont val="Arial"/>
        <family val="2"/>
      </rPr>
      <t xml:space="preserve"> down slope</t>
    </r>
  </si>
  <si>
    <t>Setup DCM Comparator</t>
  </si>
  <si>
    <t>Voltage Applied to FET Gate ≈ VDD</t>
  </si>
  <si>
    <r>
      <t>Double pole of G</t>
    </r>
    <r>
      <rPr>
        <b/>
        <vertAlign val="subscript"/>
        <sz val="12"/>
        <rFont val="Arial"/>
        <family val="2"/>
      </rPr>
      <t>CO</t>
    </r>
    <r>
      <rPr>
        <b/>
        <sz val="12"/>
        <rFont val="Arial"/>
        <family val="2"/>
      </rPr>
      <t>(f)</t>
    </r>
  </si>
  <si>
    <r>
      <t>f</t>
    </r>
    <r>
      <rPr>
        <b/>
        <vertAlign val="subscript"/>
        <sz val="12"/>
        <rFont val="Arial"/>
        <family val="2"/>
      </rPr>
      <t>PP</t>
    </r>
  </si>
  <si>
    <r>
      <t>Select Shim Inductor (L</t>
    </r>
    <r>
      <rPr>
        <b/>
        <vertAlign val="subscript"/>
        <sz val="12"/>
        <color indexed="9"/>
        <rFont val="Arial"/>
        <family val="2"/>
      </rPr>
      <t>S</t>
    </r>
    <r>
      <rPr>
        <b/>
        <sz val="12"/>
        <color indexed="9"/>
        <rFont val="Arial"/>
        <family val="2"/>
      </rPr>
      <t>)</t>
    </r>
  </si>
  <si>
    <r>
      <t>Selecting Output Inductor (L</t>
    </r>
    <r>
      <rPr>
        <b/>
        <vertAlign val="subscript"/>
        <sz val="12"/>
        <color indexed="9"/>
        <rFont val="Arial"/>
        <family val="2"/>
      </rPr>
      <t>OUT</t>
    </r>
    <r>
      <rPr>
        <b/>
        <sz val="12"/>
        <color indexed="9"/>
        <rFont val="Arial"/>
        <family val="2"/>
      </rPr>
      <t>)</t>
    </r>
  </si>
  <si>
    <r>
      <t>Selecting Output Capacitance (C</t>
    </r>
    <r>
      <rPr>
        <b/>
        <vertAlign val="subscript"/>
        <sz val="12"/>
        <color indexed="9"/>
        <rFont val="Arial"/>
        <family val="2"/>
      </rPr>
      <t>OUT</t>
    </r>
    <r>
      <rPr>
        <b/>
        <sz val="12"/>
        <color indexed="9"/>
        <rFont val="Arial"/>
        <family val="2"/>
      </rPr>
      <t>)</t>
    </r>
  </si>
  <si>
    <r>
      <t>Input Capacitance Calculations (C</t>
    </r>
    <r>
      <rPr>
        <b/>
        <vertAlign val="subscript"/>
        <sz val="12"/>
        <color indexed="9"/>
        <rFont val="Arial"/>
        <family val="2"/>
      </rPr>
      <t>IN</t>
    </r>
    <r>
      <rPr>
        <b/>
        <sz val="12"/>
        <color indexed="9"/>
        <rFont val="Arial"/>
        <family val="2"/>
      </rPr>
      <t>)</t>
    </r>
  </si>
  <si>
    <t>Recalculate Power Budget 
This is the remaining power left for the CT network, IC and IC sensing resistors</t>
  </si>
  <si>
    <r>
      <t>Setting up Voltage Amplifier Reference G</t>
    </r>
    <r>
      <rPr>
        <b/>
        <vertAlign val="subscript"/>
        <sz val="12"/>
        <color indexed="9"/>
        <rFont val="Arial"/>
        <family val="2"/>
      </rPr>
      <t>C</t>
    </r>
    <r>
      <rPr>
        <b/>
        <sz val="12"/>
        <color indexed="9"/>
        <rFont val="Arial"/>
        <family val="2"/>
      </rPr>
      <t>(f)</t>
    </r>
  </si>
  <si>
    <r>
      <t>Select Soft Start Capacitor (C</t>
    </r>
    <r>
      <rPr>
        <b/>
        <vertAlign val="subscript"/>
        <sz val="12"/>
        <color indexed="9"/>
        <rFont val="Arial"/>
        <family val="2"/>
      </rPr>
      <t>SS</t>
    </r>
    <r>
      <rPr>
        <b/>
        <sz val="12"/>
        <color indexed="9"/>
        <rFont val="Arial"/>
        <family val="2"/>
      </rPr>
      <t>)</t>
    </r>
  </si>
  <si>
    <t>It is recommended that you read this application note before using this design tool</t>
  </si>
  <si>
    <t>Please Refer to Figure of T1 Current</t>
  </si>
  <si>
    <r>
      <t>Primary Magnetizing Current Based on L</t>
    </r>
    <r>
      <rPr>
        <b/>
        <vertAlign val="subscript"/>
        <sz val="12"/>
        <rFont val="Arial"/>
        <family val="2"/>
      </rPr>
      <t>MAG</t>
    </r>
  </si>
  <si>
    <r>
      <t>Calculate T1 Primary RMS Current (I</t>
    </r>
    <r>
      <rPr>
        <b/>
        <vertAlign val="subscript"/>
        <sz val="12"/>
        <rFont val="Arial"/>
        <family val="2"/>
      </rPr>
      <t>PRMS</t>
    </r>
    <r>
      <rPr>
        <b/>
        <sz val="12"/>
        <rFont val="Arial"/>
        <family val="2"/>
      </rPr>
      <t>)</t>
    </r>
  </si>
  <si>
    <r>
      <t>Setting up the current sense network (CT, R</t>
    </r>
    <r>
      <rPr>
        <b/>
        <vertAlign val="subscript"/>
        <sz val="12"/>
        <color indexed="9"/>
        <rFont val="Arial"/>
        <family val="2"/>
      </rPr>
      <t>S</t>
    </r>
    <r>
      <rPr>
        <b/>
        <sz val="12"/>
        <color indexed="9"/>
        <rFont val="Arial"/>
        <family val="2"/>
      </rPr>
      <t>, R</t>
    </r>
    <r>
      <rPr>
        <b/>
        <vertAlign val="subscript"/>
        <sz val="12"/>
        <color indexed="9"/>
        <rFont val="Arial"/>
        <family val="2"/>
      </rPr>
      <t xml:space="preserve">RE, </t>
    </r>
    <r>
      <rPr>
        <b/>
        <sz val="12"/>
        <color indexed="9"/>
        <rFont val="Arial"/>
        <family val="2"/>
      </rPr>
      <t>D</t>
    </r>
    <r>
      <rPr>
        <b/>
        <vertAlign val="subscript"/>
        <sz val="12"/>
        <color indexed="9"/>
        <rFont val="Arial"/>
        <family val="2"/>
      </rPr>
      <t>A</t>
    </r>
    <r>
      <rPr>
        <b/>
        <sz val="12"/>
        <color indexed="9"/>
        <rFont val="Arial"/>
        <family val="2"/>
      </rPr>
      <t>):</t>
    </r>
  </si>
  <si>
    <t>Closest Standard Capacitor Value</t>
  </si>
  <si>
    <t>Closest Standard Resistor Value (E48)</t>
  </si>
  <si>
    <t>4. The spreadsheet will calculate the ideal values and display the results in red type.</t>
  </si>
  <si>
    <r>
      <t>L</t>
    </r>
    <r>
      <rPr>
        <b/>
        <vertAlign val="subscript"/>
        <sz val="12"/>
        <rFont val="Arial"/>
        <family val="2"/>
      </rPr>
      <t>LK</t>
    </r>
  </si>
  <si>
    <t>Measured Transformer Primary Leakage Inductance</t>
  </si>
  <si>
    <t>&gt; Invalid parameters entered in yellow cells</t>
  </si>
  <si>
    <t>&gt; Design cannot calculate realistic values for your design parameters</t>
  </si>
  <si>
    <t>&gt; Efficiency goal with selected components may not be achievable</t>
  </si>
  <si>
    <t>Warning Negative Numbers in Calculated Values Could Indicate</t>
  </si>
  <si>
    <t>Select Transformer Turns Ratio</t>
  </si>
  <si>
    <r>
      <t>R</t>
    </r>
    <r>
      <rPr>
        <b/>
        <vertAlign val="subscript"/>
        <sz val="12"/>
        <rFont val="Arial"/>
        <family val="2"/>
      </rPr>
      <t>DA1</t>
    </r>
  </si>
  <si>
    <r>
      <t>V</t>
    </r>
    <r>
      <rPr>
        <b/>
        <vertAlign val="subscript"/>
        <sz val="12"/>
        <rFont val="Arial"/>
        <family val="2"/>
      </rPr>
      <t>ADEL</t>
    </r>
  </si>
  <si>
    <t>Calculate Voltage at ADEL pin to Meet Delay Range</t>
  </si>
  <si>
    <r>
      <t>Select Standard Resistor for R</t>
    </r>
    <r>
      <rPr>
        <b/>
        <vertAlign val="subscript"/>
        <sz val="12"/>
        <rFont val="Arial"/>
        <family val="2"/>
      </rPr>
      <t xml:space="preserve">DA1 </t>
    </r>
    <r>
      <rPr>
        <b/>
        <sz val="12"/>
        <rFont val="Arial"/>
        <family val="2"/>
      </rPr>
      <t>for t</t>
    </r>
    <r>
      <rPr>
        <b/>
        <vertAlign val="subscript"/>
        <sz val="12"/>
        <rFont val="Arial"/>
        <family val="2"/>
      </rPr>
      <t xml:space="preserve">ABSET </t>
    </r>
    <r>
      <rPr>
        <b/>
        <sz val="12"/>
        <rFont val="Arial"/>
        <family val="2"/>
      </rPr>
      <t>Delay Range</t>
    </r>
  </si>
  <si>
    <r>
      <t>Calculate R</t>
    </r>
    <r>
      <rPr>
        <b/>
        <vertAlign val="subscript"/>
        <sz val="12"/>
        <rFont val="Arial"/>
        <family val="2"/>
      </rPr>
      <t>DA2</t>
    </r>
  </si>
  <si>
    <r>
      <t>R</t>
    </r>
    <r>
      <rPr>
        <b/>
        <vertAlign val="subscript"/>
        <sz val="12"/>
        <rFont val="Arial"/>
        <family val="2"/>
      </rPr>
      <t>DA2</t>
    </r>
  </si>
  <si>
    <r>
      <t>Select Standard Resistor for R</t>
    </r>
    <r>
      <rPr>
        <b/>
        <vertAlign val="subscript"/>
        <sz val="12"/>
        <rFont val="Arial"/>
        <family val="2"/>
      </rPr>
      <t xml:space="preserve">DA2 </t>
    </r>
    <r>
      <rPr>
        <b/>
        <sz val="12"/>
        <rFont val="Arial"/>
        <family val="2"/>
      </rPr>
      <t>for t</t>
    </r>
    <r>
      <rPr>
        <b/>
        <vertAlign val="subscript"/>
        <sz val="12"/>
        <rFont val="Arial"/>
        <family val="2"/>
      </rPr>
      <t xml:space="preserve">ABSET </t>
    </r>
    <r>
      <rPr>
        <b/>
        <sz val="12"/>
        <rFont val="Arial"/>
        <family val="2"/>
      </rPr>
      <t>Delay Range</t>
    </r>
  </si>
  <si>
    <r>
      <t>Recalculate V</t>
    </r>
    <r>
      <rPr>
        <b/>
        <vertAlign val="subscript"/>
        <sz val="12"/>
        <rFont val="Arial"/>
        <family val="2"/>
      </rPr>
      <t>ADEL</t>
    </r>
    <r>
      <rPr>
        <b/>
        <sz val="12"/>
        <rFont val="Arial"/>
        <family val="2"/>
      </rPr>
      <t xml:space="preserve"> Based on R</t>
    </r>
    <r>
      <rPr>
        <b/>
        <vertAlign val="subscript"/>
        <sz val="12"/>
        <rFont val="Arial"/>
        <family val="2"/>
      </rPr>
      <t>DA1</t>
    </r>
    <r>
      <rPr>
        <b/>
        <sz val="12"/>
        <rFont val="Arial"/>
        <family val="2"/>
      </rPr>
      <t xml:space="preserve"> and R</t>
    </r>
    <r>
      <rPr>
        <b/>
        <vertAlign val="subscript"/>
        <sz val="12"/>
        <rFont val="Arial"/>
        <family val="2"/>
      </rPr>
      <t>DA2</t>
    </r>
    <r>
      <rPr>
        <b/>
        <sz val="12"/>
        <rFont val="Arial"/>
        <family val="2"/>
      </rPr>
      <t xml:space="preserve"> Selection</t>
    </r>
  </si>
  <si>
    <r>
      <t>Enter/Fine Tune t</t>
    </r>
    <r>
      <rPr>
        <b/>
        <vertAlign val="subscript"/>
        <sz val="12"/>
        <rFont val="Arial"/>
        <family val="2"/>
      </rPr>
      <t>ABSET</t>
    </r>
    <r>
      <rPr>
        <b/>
        <sz val="12"/>
        <rFont val="Arial"/>
        <family val="2"/>
      </rPr>
      <t xml:space="preserve"> Based on Valley Switching/ZVS</t>
    </r>
  </si>
  <si>
    <r>
      <t>Setting AB Initial Turn-on Delay (t</t>
    </r>
    <r>
      <rPr>
        <b/>
        <vertAlign val="subscript"/>
        <sz val="12"/>
        <color indexed="9"/>
        <rFont val="Arial"/>
        <family val="2"/>
      </rPr>
      <t>ABSET</t>
    </r>
    <r>
      <rPr>
        <b/>
        <sz val="12"/>
        <color indexed="9"/>
        <rFont val="Arial"/>
        <family val="2"/>
      </rPr>
      <t>)</t>
    </r>
  </si>
  <si>
    <r>
      <t>Setting CD Initial Turn-on Delay (t</t>
    </r>
    <r>
      <rPr>
        <b/>
        <vertAlign val="subscript"/>
        <sz val="12"/>
        <color indexed="9"/>
        <rFont val="Arial"/>
        <family val="2"/>
      </rPr>
      <t>CDSET</t>
    </r>
    <r>
      <rPr>
        <b/>
        <sz val="12"/>
        <color indexed="9"/>
        <rFont val="Arial"/>
        <family val="2"/>
      </rPr>
      <t>)</t>
    </r>
  </si>
  <si>
    <r>
      <t>R</t>
    </r>
    <r>
      <rPr>
        <b/>
        <vertAlign val="subscript"/>
        <sz val="12"/>
        <rFont val="Arial"/>
        <family val="2"/>
      </rPr>
      <t>CA1</t>
    </r>
  </si>
  <si>
    <r>
      <t>Select Standard Resistor for R</t>
    </r>
    <r>
      <rPr>
        <b/>
        <vertAlign val="subscript"/>
        <sz val="12"/>
        <rFont val="Arial"/>
        <family val="2"/>
      </rPr>
      <t xml:space="preserve">CA1 </t>
    </r>
    <r>
      <rPr>
        <b/>
        <sz val="12"/>
        <rFont val="Arial"/>
        <family val="2"/>
      </rPr>
      <t>for t</t>
    </r>
    <r>
      <rPr>
        <b/>
        <vertAlign val="subscript"/>
        <sz val="12"/>
        <rFont val="Arial"/>
        <family val="2"/>
      </rPr>
      <t xml:space="preserve">AFSET </t>
    </r>
    <r>
      <rPr>
        <b/>
        <sz val="12"/>
        <rFont val="Arial"/>
        <family val="2"/>
      </rPr>
      <t>Delay Range</t>
    </r>
  </si>
  <si>
    <r>
      <t>Calculate R</t>
    </r>
    <r>
      <rPr>
        <b/>
        <vertAlign val="subscript"/>
        <sz val="12"/>
        <rFont val="Arial"/>
        <family val="2"/>
      </rPr>
      <t>CA2</t>
    </r>
  </si>
  <si>
    <r>
      <t>R</t>
    </r>
    <r>
      <rPr>
        <b/>
        <vertAlign val="subscript"/>
        <sz val="12"/>
        <rFont val="Arial"/>
        <family val="2"/>
      </rPr>
      <t>CA2</t>
    </r>
  </si>
  <si>
    <t>Calculate Voltage at ADELEF pin to Meet Delay Range</t>
  </si>
  <si>
    <r>
      <t>V</t>
    </r>
    <r>
      <rPr>
        <b/>
        <vertAlign val="subscript"/>
        <sz val="12"/>
        <rFont val="Arial"/>
        <family val="2"/>
      </rPr>
      <t>ADELEF</t>
    </r>
  </si>
  <si>
    <r>
      <t>t</t>
    </r>
    <r>
      <rPr>
        <b/>
        <vertAlign val="subscript"/>
        <sz val="12"/>
        <rFont val="Arial"/>
        <family val="2"/>
      </rPr>
      <t xml:space="preserve">AFSET </t>
    </r>
    <r>
      <rPr>
        <b/>
        <sz val="12"/>
        <rFont val="Arial"/>
        <family val="2"/>
      </rPr>
      <t>= t</t>
    </r>
    <r>
      <rPr>
        <b/>
        <vertAlign val="subscript"/>
        <sz val="12"/>
        <rFont val="Arial"/>
        <family val="2"/>
      </rPr>
      <t>BESET</t>
    </r>
  </si>
  <si>
    <r>
      <t>Enter/Fine Tune t</t>
    </r>
    <r>
      <rPr>
        <b/>
        <vertAlign val="subscript"/>
        <sz val="12"/>
        <rFont val="Arial"/>
        <family val="2"/>
      </rPr>
      <t xml:space="preserve">AFSET </t>
    </r>
    <r>
      <rPr>
        <b/>
        <sz val="12"/>
        <rFont val="Arial"/>
        <family val="2"/>
      </rPr>
      <t>and t</t>
    </r>
    <r>
      <rPr>
        <b/>
        <vertAlign val="subscript"/>
        <sz val="12"/>
        <rFont val="Arial"/>
        <family val="2"/>
      </rPr>
      <t>AFSET</t>
    </r>
  </si>
  <si>
    <t>Select Standard Resistor Value</t>
  </si>
  <si>
    <r>
      <t>Setting AF and BE turnoff delay (t</t>
    </r>
    <r>
      <rPr>
        <b/>
        <vertAlign val="subscript"/>
        <sz val="12"/>
        <color indexed="9"/>
        <rFont val="Arial"/>
        <family val="2"/>
      </rPr>
      <t>AFSET</t>
    </r>
    <r>
      <rPr>
        <b/>
        <sz val="12"/>
        <color indexed="9"/>
        <rFont val="Arial"/>
        <family val="2"/>
      </rPr>
      <t>, t</t>
    </r>
    <r>
      <rPr>
        <b/>
        <vertAlign val="subscript"/>
        <sz val="12"/>
        <color indexed="9"/>
        <rFont val="Arial"/>
        <family val="2"/>
      </rPr>
      <t>BESET</t>
    </r>
    <r>
      <rPr>
        <b/>
        <sz val="12"/>
        <color indexed="9"/>
        <rFont val="Arial"/>
        <family val="2"/>
      </rPr>
      <t>)</t>
    </r>
  </si>
  <si>
    <t>Select Standard Capacitor Value</t>
  </si>
  <si>
    <t>Select Standard Resistor Value (Between 13K and 90K ohm)</t>
  </si>
  <si>
    <t>Select Standard Resistor Value(Between 13K and 90K ohm)</t>
  </si>
  <si>
    <t>This design tool was generated based on the information in application report SLUA560</t>
  </si>
  <si>
    <r>
      <t>Δ</t>
    </r>
    <r>
      <rPr>
        <b/>
        <sz val="12"/>
        <rFont val="Arial"/>
        <family val="2"/>
      </rPr>
      <t>I</t>
    </r>
    <r>
      <rPr>
        <b/>
        <vertAlign val="subscript"/>
        <sz val="12"/>
        <rFont val="Arial"/>
        <family val="2"/>
      </rPr>
      <t>LMAG</t>
    </r>
  </si>
  <si>
    <t>6. Note this design tool was generated to accompany application report     SLUA560</t>
  </si>
  <si>
    <t>Enter Design Parameters and Chosen Component Values in Yellow Cells</t>
  </si>
  <si>
    <r>
      <t>V</t>
    </r>
    <r>
      <rPr>
        <b/>
        <vertAlign val="subscript"/>
        <sz val="12"/>
        <rFont val="Arial"/>
        <family val="2"/>
      </rPr>
      <t>SLOPE1</t>
    </r>
  </si>
  <si>
    <r>
      <t>V</t>
    </r>
    <r>
      <rPr>
        <b/>
        <vertAlign val="subscript"/>
        <sz val="12"/>
        <rFont val="Arial"/>
        <family val="2"/>
      </rPr>
      <t>SLOPE2</t>
    </r>
  </si>
  <si>
    <r>
      <t>Calculate V</t>
    </r>
    <r>
      <rPr>
        <b/>
        <vertAlign val="subscript"/>
        <sz val="12"/>
        <rFont val="Arial"/>
        <family val="2"/>
      </rPr>
      <t>SLOPE1</t>
    </r>
  </si>
  <si>
    <r>
      <t>Calculate V</t>
    </r>
    <r>
      <rPr>
        <b/>
        <vertAlign val="subscript"/>
        <sz val="12"/>
        <rFont val="Arial"/>
        <family val="2"/>
      </rPr>
      <t>SLOPE2</t>
    </r>
  </si>
  <si>
    <t>Assumes the centre tapped secondary - as per Functional Schematic</t>
  </si>
  <si>
    <t>UCC28950 Excel Design Tool: SLUC222D</t>
  </si>
  <si>
    <t>Revision: D</t>
  </si>
  <si>
    <t>UCC28950 Design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</si>
</sst>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33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26"/>
      <color indexed="10"/>
      <name val="Arial"/>
      <family val="2"/>
    </font>
    <font>
      <sz val="20"/>
      <name val="Arial"/>
      <family val="2"/>
    </font>
    <font>
      <b/>
      <vertAlign val="subscript"/>
      <sz val="12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color indexed="22"/>
      <name val="Arial"/>
      <family val="2"/>
    </font>
    <font>
      <sz val="14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vertAlign val="subscript"/>
      <sz val="10"/>
      <name val="Arial"/>
      <family val="2"/>
    </font>
    <font>
      <b/>
      <sz val="12"/>
      <color indexed="9"/>
      <name val="Arial"/>
      <family val="2"/>
    </font>
    <font>
      <b/>
      <vertAlign val="subscript"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53"/>
      <name val="Arial"/>
      <family val="2"/>
    </font>
    <font>
      <b/>
      <sz val="12"/>
      <color rgb="FFFF0000"/>
      <name val="Arial"/>
      <family val="2"/>
    </font>
    <font>
      <sz val="11"/>
      <color rgb="FF00B050"/>
      <name val="Calibri"/>
      <family val="2"/>
    </font>
    <font>
      <b/>
      <sz val="12"/>
      <color rgb="FF00B05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</fills>
  <borders count="2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 style="medium">
        <color indexed="9"/>
      </right>
      <top style="medium">
        <color indexed="9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4" fillId="2" borderId="0" xfId="0" applyFont="1" applyFill="1" applyAlignment="1">
      <alignment vertical="center"/>
    </xf>
    <xf numFmtId="0" fontId="7" fillId="3" borderId="0" xfId="0" applyFont="1" applyFill="1" applyBorder="1" applyProtection="1">
      <protection hidden="1"/>
    </xf>
    <xf numFmtId="0" fontId="1" fillId="3" borderId="0" xfId="0" applyFont="1" applyFill="1" applyProtection="1">
      <protection hidden="1"/>
    </xf>
    <xf numFmtId="0" fontId="8" fillId="3" borderId="0" xfId="0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49" fontId="1" fillId="3" borderId="0" xfId="0" applyNumberFormat="1" applyFont="1" applyFill="1" applyBorder="1" applyProtection="1">
      <protection hidden="1"/>
    </xf>
    <xf numFmtId="0" fontId="7" fillId="3" borderId="1" xfId="0" applyFont="1" applyFill="1" applyBorder="1" applyProtection="1">
      <protection hidden="1"/>
    </xf>
    <xf numFmtId="0" fontId="1" fillId="3" borderId="2" xfId="0" applyFont="1" applyFill="1" applyBorder="1" applyProtection="1">
      <protection hidden="1"/>
    </xf>
    <xf numFmtId="0" fontId="9" fillId="4" borderId="3" xfId="0" applyFont="1" applyFill="1" applyBorder="1" applyProtection="1">
      <protection hidden="1"/>
    </xf>
    <xf numFmtId="1" fontId="7" fillId="3" borderId="0" xfId="0" applyNumberFormat="1" applyFont="1" applyFill="1" applyBorder="1" applyProtection="1">
      <protection hidden="1"/>
    </xf>
    <xf numFmtId="1" fontId="11" fillId="5" borderId="4" xfId="0" applyNumberFormat="1" applyFont="1" applyFill="1" applyBorder="1" applyAlignment="1" applyProtection="1">
      <alignment horizontal="center"/>
      <protection hidden="1"/>
    </xf>
    <xf numFmtId="0" fontId="11" fillId="5" borderId="5" xfId="0" applyFont="1" applyFill="1" applyBorder="1" applyProtection="1">
      <protection hidden="1"/>
    </xf>
    <xf numFmtId="0" fontId="7" fillId="3" borderId="0" xfId="0" applyFont="1" applyFill="1" applyProtection="1">
      <protection hidden="1"/>
    </xf>
    <xf numFmtId="0" fontId="10" fillId="6" borderId="6" xfId="0" applyFont="1" applyFill="1" applyBorder="1" applyAlignment="1">
      <alignment horizontal="center" wrapText="1"/>
    </xf>
    <xf numFmtId="0" fontId="10" fillId="6" borderId="7" xfId="0" applyFont="1" applyFill="1" applyBorder="1" applyAlignment="1">
      <alignment horizontal="center" wrapText="1"/>
    </xf>
    <xf numFmtId="0" fontId="10" fillId="7" borderId="6" xfId="0" applyFont="1" applyFill="1" applyBorder="1" applyAlignment="1">
      <alignment horizontal="center" wrapText="1"/>
    </xf>
    <xf numFmtId="0" fontId="10" fillId="7" borderId="8" xfId="0" applyFont="1" applyFill="1" applyBorder="1" applyAlignment="1">
      <alignment horizontal="center" wrapText="1"/>
    </xf>
    <xf numFmtId="0" fontId="9" fillId="4" borderId="9" xfId="0" applyFont="1" applyFill="1" applyBorder="1" applyAlignment="1" applyProtection="1">
      <alignment horizontal="center"/>
      <protection hidden="1"/>
    </xf>
    <xf numFmtId="0" fontId="9" fillId="4" borderId="10" xfId="0" applyFont="1" applyFill="1" applyBorder="1" applyProtection="1">
      <protection hidden="1"/>
    </xf>
    <xf numFmtId="0" fontId="1" fillId="3" borderId="11" xfId="0" applyFont="1" applyFill="1" applyBorder="1" applyProtection="1">
      <protection hidden="1"/>
    </xf>
    <xf numFmtId="1" fontId="12" fillId="3" borderId="0" xfId="0" applyNumberFormat="1" applyFont="1" applyFill="1" applyBorder="1" applyProtection="1">
      <protection hidden="1"/>
    </xf>
    <xf numFmtId="165" fontId="13" fillId="3" borderId="0" xfId="0" applyNumberFormat="1" applyFont="1" applyFill="1" applyBorder="1" applyAlignment="1" applyProtection="1">
      <alignment horizontal="center"/>
      <protection hidden="1"/>
    </xf>
    <xf numFmtId="2" fontId="12" fillId="3" borderId="0" xfId="0" applyNumberFormat="1" applyFont="1" applyFill="1" applyBorder="1" applyAlignment="1" applyProtection="1">
      <alignment horizontal="center"/>
      <protection hidden="1"/>
    </xf>
    <xf numFmtId="0" fontId="1" fillId="3" borderId="12" xfId="0" applyFont="1" applyFill="1" applyBorder="1" applyProtection="1">
      <protection hidden="1"/>
    </xf>
    <xf numFmtId="0" fontId="14" fillId="3" borderId="0" xfId="0" applyFont="1" applyFill="1" applyBorder="1" applyProtection="1">
      <protection hidden="1"/>
    </xf>
    <xf numFmtId="0" fontId="15" fillId="3" borderId="0" xfId="0" applyFont="1" applyFill="1" applyBorder="1" applyAlignment="1" applyProtection="1">
      <alignment horizontal="center" wrapText="1"/>
      <protection hidden="1"/>
    </xf>
    <xf numFmtId="2" fontId="1" fillId="3" borderId="0" xfId="0" applyNumberFormat="1" applyFont="1" applyFill="1" applyBorder="1" applyAlignment="1" applyProtection="1">
      <alignment horizontal="center"/>
      <protection hidden="1"/>
    </xf>
    <xf numFmtId="1" fontId="16" fillId="3" borderId="0" xfId="0" applyNumberFormat="1" applyFont="1" applyFill="1" applyBorder="1" applyProtection="1"/>
    <xf numFmtId="0" fontId="1" fillId="3" borderId="13" xfId="0" applyFont="1" applyFill="1" applyBorder="1" applyProtection="1">
      <protection hidden="1"/>
    </xf>
    <xf numFmtId="0" fontId="10" fillId="8" borderId="14" xfId="0" applyFont="1" applyFill="1" applyBorder="1" applyAlignment="1">
      <alignment horizontal="center" wrapText="1"/>
    </xf>
    <xf numFmtId="0" fontId="16" fillId="3" borderId="0" xfId="0" applyFont="1" applyFill="1" applyBorder="1" applyProtection="1">
      <protection hidden="1"/>
    </xf>
    <xf numFmtId="0" fontId="10" fillId="8" borderId="6" xfId="0" applyFont="1" applyFill="1" applyBorder="1" applyAlignment="1">
      <alignment horizontal="center" wrapText="1"/>
    </xf>
    <xf numFmtId="0" fontId="10" fillId="8" borderId="7" xfId="0" applyFont="1" applyFill="1" applyBorder="1" applyAlignment="1">
      <alignment horizontal="center" wrapText="1"/>
    </xf>
    <xf numFmtId="0" fontId="1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>
      <alignment horizontal="center"/>
    </xf>
    <xf numFmtId="0" fontId="11" fillId="3" borderId="0" xfId="0" applyFont="1" applyFill="1" applyBorder="1" applyProtection="1">
      <protection hidden="1"/>
    </xf>
    <xf numFmtId="0" fontId="1" fillId="3" borderId="0" xfId="0" applyFont="1" applyFill="1"/>
    <xf numFmtId="49" fontId="17" fillId="5" borderId="6" xfId="0" applyNumberFormat="1" applyFont="1" applyFill="1" applyBorder="1" applyAlignment="1">
      <alignment horizontal="center" wrapText="1"/>
    </xf>
    <xf numFmtId="49" fontId="17" fillId="5" borderId="7" xfId="0" applyNumberFormat="1" applyFont="1" applyFill="1" applyBorder="1" applyAlignment="1">
      <alignment horizontal="center" wrapText="1"/>
    </xf>
    <xf numFmtId="0" fontId="18" fillId="3" borderId="0" xfId="0" applyFont="1" applyFill="1"/>
    <xf numFmtId="49" fontId="0" fillId="3" borderId="0" xfId="0" applyNumberFormat="1" applyFill="1" applyBorder="1" applyProtection="1"/>
    <xf numFmtId="49" fontId="17" fillId="5" borderId="8" xfId="0" applyNumberFormat="1" applyFont="1" applyFill="1" applyBorder="1" applyAlignment="1">
      <alignment horizontal="center" wrapText="1"/>
    </xf>
    <xf numFmtId="49" fontId="12" fillId="3" borderId="0" xfId="0" applyNumberFormat="1" applyFont="1" applyFill="1" applyBorder="1" applyProtection="1">
      <protection hidden="1"/>
    </xf>
    <xf numFmtId="0" fontId="12" fillId="3" borderId="0" xfId="0" applyFont="1" applyFill="1" applyBorder="1" applyProtection="1">
      <protection hidden="1"/>
    </xf>
    <xf numFmtId="0" fontId="12" fillId="3" borderId="0" xfId="0" applyFont="1" applyFill="1" applyProtection="1">
      <protection hidden="1"/>
    </xf>
    <xf numFmtId="0" fontId="17" fillId="3" borderId="0" xfId="0" applyFont="1" applyFill="1" applyBorder="1" applyAlignment="1" applyProtection="1">
      <alignment horizontal="center" wrapText="1"/>
      <protection hidden="1"/>
    </xf>
    <xf numFmtId="0" fontId="12" fillId="3" borderId="0" xfId="0" applyFont="1" applyFill="1"/>
    <xf numFmtId="0" fontId="19" fillId="3" borderId="0" xfId="0" applyFont="1" applyFill="1" applyProtection="1">
      <protection hidden="1"/>
    </xf>
    <xf numFmtId="0" fontId="0" fillId="3" borderId="0" xfId="0" applyFill="1" applyBorder="1" applyAlignment="1">
      <alignment wrapText="1"/>
    </xf>
    <xf numFmtId="0" fontId="0" fillId="3" borderId="0" xfId="0" applyFill="1" applyProtection="1">
      <protection hidden="1"/>
    </xf>
    <xf numFmtId="0" fontId="2" fillId="3" borderId="15" xfId="0" applyFont="1" applyFill="1" applyBorder="1" applyAlignment="1" applyProtection="1">
      <alignment horizontal="left"/>
    </xf>
    <xf numFmtId="0" fontId="2" fillId="9" borderId="15" xfId="0" applyFont="1" applyFill="1" applyBorder="1" applyAlignment="1" applyProtection="1">
      <alignment horizontal="left"/>
      <protection locked="0"/>
    </xf>
    <xf numFmtId="9" fontId="2" fillId="9" borderId="15" xfId="0" applyNumberFormat="1" applyFont="1" applyFill="1" applyBorder="1" applyAlignment="1" applyProtection="1">
      <alignment horizontal="left"/>
      <protection locked="0"/>
    </xf>
    <xf numFmtId="0" fontId="22" fillId="0" borderId="15" xfId="0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left"/>
    </xf>
    <xf numFmtId="14" fontId="2" fillId="0" borderId="15" xfId="0" applyNumberFormat="1" applyFont="1" applyBorder="1" applyAlignment="1" applyProtection="1">
      <alignment horizontal="left"/>
    </xf>
    <xf numFmtId="0" fontId="2" fillId="0" borderId="15" xfId="0" applyFont="1" applyBorder="1" applyAlignment="1" applyProtection="1">
      <alignment horizontal="left" wrapText="1"/>
    </xf>
    <xf numFmtId="0" fontId="2" fillId="10" borderId="15" xfId="0" applyFont="1" applyFill="1" applyBorder="1" applyAlignment="1" applyProtection="1">
      <alignment horizontal="left"/>
    </xf>
    <xf numFmtId="0" fontId="2" fillId="11" borderId="15" xfId="0" applyFont="1" applyFill="1" applyBorder="1" applyAlignment="1" applyProtection="1">
      <alignment horizontal="left"/>
    </xf>
    <xf numFmtId="164" fontId="2" fillId="0" borderId="15" xfId="0" applyNumberFormat="1" applyFont="1" applyBorder="1" applyAlignment="1" applyProtection="1">
      <alignment horizontal="left"/>
    </xf>
    <xf numFmtId="2" fontId="2" fillId="0" borderId="15" xfId="0" applyNumberFormat="1" applyFont="1" applyBorder="1" applyAlignment="1" applyProtection="1">
      <alignment horizontal="left"/>
    </xf>
    <xf numFmtId="0" fontId="6" fillId="0" borderId="15" xfId="0" applyFont="1" applyBorder="1" applyAlignment="1" applyProtection="1">
      <alignment horizontal="left"/>
    </xf>
    <xf numFmtId="0" fontId="6" fillId="3" borderId="15" xfId="0" applyFont="1" applyFill="1" applyBorder="1" applyAlignment="1" applyProtection="1">
      <alignment horizontal="left"/>
    </xf>
    <xf numFmtId="0" fontId="2" fillId="3" borderId="15" xfId="0" applyFont="1" applyFill="1" applyBorder="1" applyAlignment="1" applyProtection="1">
      <alignment horizontal="left" wrapText="1"/>
    </xf>
    <xf numFmtId="1" fontId="2" fillId="3" borderId="15" xfId="0" applyNumberFormat="1" applyFont="1" applyFill="1" applyBorder="1" applyAlignment="1" applyProtection="1">
      <alignment horizontal="left"/>
    </xf>
    <xf numFmtId="0" fontId="22" fillId="3" borderId="15" xfId="0" applyFont="1" applyFill="1" applyBorder="1" applyAlignment="1" applyProtection="1">
      <alignment horizontal="left" wrapText="1"/>
    </xf>
    <xf numFmtId="0" fontId="2" fillId="0" borderId="15" xfId="0" applyFont="1" applyBorder="1" applyAlignment="1" applyProtection="1">
      <alignment horizontal="left"/>
      <protection locked="0"/>
    </xf>
    <xf numFmtId="0" fontId="2" fillId="11" borderId="15" xfId="0" applyFont="1" applyFill="1" applyBorder="1" applyAlignment="1" applyProtection="1">
      <alignment horizontal="left" wrapText="1"/>
    </xf>
    <xf numFmtId="164" fontId="11" fillId="5" borderId="16" xfId="0" applyNumberFormat="1" applyFont="1" applyFill="1" applyBorder="1" applyProtection="1">
      <protection hidden="1"/>
    </xf>
    <xf numFmtId="164" fontId="11" fillId="5" borderId="17" xfId="0" applyNumberFormat="1" applyFont="1" applyFill="1" applyBorder="1" applyProtection="1">
      <protection hidden="1"/>
    </xf>
    <xf numFmtId="164" fontId="11" fillId="5" borderId="18" xfId="0" applyNumberFormat="1" applyFont="1" applyFill="1" applyBorder="1" applyProtection="1">
      <protection hidden="1"/>
    </xf>
    <xf numFmtId="0" fontId="23" fillId="0" borderId="15" xfId="0" applyFont="1" applyBorder="1" applyAlignment="1" applyProtection="1">
      <alignment horizontal="left"/>
    </xf>
    <xf numFmtId="0" fontId="0" fillId="0" borderId="15" xfId="0" applyBorder="1"/>
    <xf numFmtId="0" fontId="0" fillId="0" borderId="15" xfId="0" applyBorder="1" applyAlignment="1">
      <alignment horizontal="left"/>
    </xf>
    <xf numFmtId="0" fontId="22" fillId="0" borderId="15" xfId="0" applyFont="1" applyFill="1" applyBorder="1" applyAlignment="1" applyProtection="1">
      <alignment horizontal="left"/>
    </xf>
    <xf numFmtId="165" fontId="0" fillId="0" borderId="15" xfId="0" applyNumberFormat="1" applyBorder="1"/>
    <xf numFmtId="0" fontId="0" fillId="0" borderId="15" xfId="0" applyFill="1" applyBorder="1"/>
    <xf numFmtId="0" fontId="24" fillId="0" borderId="15" xfId="0" applyFont="1" applyBorder="1"/>
    <xf numFmtId="0" fontId="0" fillId="0" borderId="15" xfId="0" applyBorder="1" applyAlignment="1">
      <alignment wrapText="1"/>
    </xf>
    <xf numFmtId="0" fontId="26" fillId="11" borderId="15" xfId="0" applyFont="1" applyFill="1" applyBorder="1" applyAlignment="1" applyProtection="1">
      <alignment horizontal="left"/>
    </xf>
    <xf numFmtId="0" fontId="26" fillId="12" borderId="15" xfId="0" applyFont="1" applyFill="1" applyBorder="1" applyAlignment="1" applyProtection="1">
      <alignment horizontal="left"/>
    </xf>
    <xf numFmtId="14" fontId="26" fillId="12" borderId="15" xfId="0" applyNumberFormat="1" applyFont="1" applyFill="1" applyBorder="1" applyAlignment="1" applyProtection="1">
      <alignment horizontal="left"/>
    </xf>
    <xf numFmtId="0" fontId="28" fillId="0" borderId="15" xfId="0" applyFont="1" applyBorder="1" applyAlignment="1" applyProtection="1">
      <alignment horizontal="left"/>
    </xf>
    <xf numFmtId="0" fontId="28" fillId="3" borderId="15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left" vertical="center" wrapText="1"/>
    </xf>
    <xf numFmtId="0" fontId="6" fillId="13" borderId="15" xfId="0" applyFont="1" applyFill="1" applyBorder="1" applyAlignment="1" applyProtection="1">
      <alignment horizontal="left"/>
    </xf>
    <xf numFmtId="14" fontId="6" fillId="13" borderId="15" xfId="0" applyNumberFormat="1" applyFont="1" applyFill="1" applyBorder="1" applyAlignment="1" applyProtection="1">
      <alignment horizontal="left"/>
    </xf>
    <xf numFmtId="0" fontId="26" fillId="14" borderId="15" xfId="0" applyFont="1" applyFill="1" applyBorder="1" applyAlignment="1" applyProtection="1">
      <alignment horizontal="left"/>
    </xf>
    <xf numFmtId="14" fontId="26" fillId="14" borderId="15" xfId="0" applyNumberFormat="1" applyFont="1" applyFill="1" applyBorder="1" applyAlignment="1" applyProtection="1">
      <alignment horizontal="left"/>
    </xf>
    <xf numFmtId="0" fontId="29" fillId="0" borderId="15" xfId="0" applyFont="1" applyBorder="1" applyAlignment="1" applyProtection="1">
      <alignment horizontal="left"/>
    </xf>
    <xf numFmtId="2" fontId="28" fillId="0" borderId="15" xfId="0" applyNumberFormat="1" applyFont="1" applyBorder="1" applyAlignment="1" applyProtection="1">
      <alignment horizontal="left"/>
    </xf>
    <xf numFmtId="2" fontId="2" fillId="13" borderId="15" xfId="0" applyNumberFormat="1" applyFont="1" applyFill="1" applyBorder="1" applyAlignment="1" applyProtection="1">
      <alignment horizontal="left"/>
      <protection locked="0"/>
    </xf>
    <xf numFmtId="2" fontId="2" fillId="3" borderId="15" xfId="0" applyNumberFormat="1" applyFont="1" applyFill="1" applyBorder="1" applyAlignment="1" applyProtection="1">
      <alignment horizontal="left"/>
    </xf>
    <xf numFmtId="2" fontId="26" fillId="12" borderId="15" xfId="0" applyNumberFormat="1" applyFont="1" applyFill="1" applyBorder="1" applyAlignment="1" applyProtection="1">
      <alignment horizontal="left"/>
    </xf>
    <xf numFmtId="2" fontId="6" fillId="13" borderId="15" xfId="0" applyNumberFormat="1" applyFont="1" applyFill="1" applyBorder="1" applyAlignment="1" applyProtection="1">
      <alignment horizontal="left"/>
    </xf>
    <xf numFmtId="2" fontId="26" fillId="14" borderId="15" xfId="0" applyNumberFormat="1" applyFont="1" applyFill="1" applyBorder="1" applyAlignment="1" applyProtection="1">
      <alignment horizontal="left"/>
    </xf>
    <xf numFmtId="2" fontId="2" fillId="9" borderId="15" xfId="0" applyNumberFormat="1" applyFont="1" applyFill="1" applyBorder="1" applyAlignment="1" applyProtection="1">
      <alignment horizontal="left"/>
      <protection locked="0"/>
    </xf>
    <xf numFmtId="2" fontId="2" fillId="10" borderId="15" xfId="0" applyNumberFormat="1" applyFont="1" applyFill="1" applyBorder="1" applyAlignment="1" applyProtection="1">
      <alignment horizontal="left"/>
    </xf>
    <xf numFmtId="2" fontId="26" fillId="11" borderId="15" xfId="0" applyNumberFormat="1" applyFont="1" applyFill="1" applyBorder="1" applyAlignment="1" applyProtection="1">
      <alignment horizontal="left"/>
    </xf>
    <xf numFmtId="2" fontId="2" fillId="11" borderId="15" xfId="0" applyNumberFormat="1" applyFont="1" applyFill="1" applyBorder="1" applyAlignment="1" applyProtection="1">
      <alignment horizontal="left"/>
    </xf>
    <xf numFmtId="2" fontId="22" fillId="0" borderId="15" xfId="0" applyNumberFormat="1" applyFont="1" applyBorder="1" applyAlignment="1" applyProtection="1">
      <alignment horizontal="left"/>
    </xf>
    <xf numFmtId="2" fontId="6" fillId="3" borderId="15" xfId="0" applyNumberFormat="1" applyFont="1" applyFill="1" applyBorder="1" applyAlignment="1" applyProtection="1">
      <alignment horizontal="left"/>
    </xf>
    <xf numFmtId="2" fontId="20" fillId="0" borderId="15" xfId="0" applyNumberFormat="1" applyFont="1" applyBorder="1" applyAlignment="1" applyProtection="1">
      <alignment horizontal="left"/>
    </xf>
    <xf numFmtId="2" fontId="2" fillId="0" borderId="15" xfId="0" applyNumberFormat="1" applyFont="1" applyBorder="1" applyAlignment="1">
      <alignment horizontal="left"/>
    </xf>
    <xf numFmtId="0" fontId="30" fillId="0" borderId="15" xfId="0" applyFont="1" applyBorder="1" applyAlignment="1" applyProtection="1">
      <alignment horizontal="left"/>
    </xf>
    <xf numFmtId="0" fontId="31" fillId="0" borderId="0" xfId="0" applyFont="1" applyAlignment="1">
      <alignment vertical="center"/>
    </xf>
    <xf numFmtId="0" fontId="32" fillId="0" borderId="15" xfId="0" applyFont="1" applyBorder="1" applyAlignment="1" applyProtection="1">
      <alignment horizontal="left"/>
    </xf>
    <xf numFmtId="165" fontId="2" fillId="13" borderId="15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7" fillId="3" borderId="0" xfId="0" applyFont="1" applyFill="1" applyBorder="1" applyAlignment="1" applyProtection="1">
      <alignment horizontal="center" wrapText="1"/>
      <protection hidden="1"/>
    </xf>
    <xf numFmtId="0" fontId="10" fillId="6" borderId="19" xfId="0" applyFont="1" applyFill="1" applyBorder="1" applyAlignment="1">
      <alignment horizontal="center" wrapText="1"/>
    </xf>
    <xf numFmtId="0" fontId="10" fillId="6" borderId="14" xfId="0" applyFont="1" applyFill="1" applyBorder="1" applyAlignment="1">
      <alignment horizontal="center" wrapText="1"/>
    </xf>
    <xf numFmtId="0" fontId="10" fillId="7" borderId="20" xfId="0" applyFont="1" applyFill="1" applyBorder="1" applyAlignment="1">
      <alignment horizontal="center" wrapText="1"/>
    </xf>
    <xf numFmtId="0" fontId="10" fillId="7" borderId="21" xfId="0" applyFont="1" applyFill="1" applyBorder="1" applyAlignment="1">
      <alignment horizontal="center" wrapText="1"/>
    </xf>
    <xf numFmtId="0" fontId="10" fillId="8" borderId="19" xfId="0" applyFont="1" applyFill="1" applyBorder="1" applyAlignment="1">
      <alignment horizontal="center" wrapText="1"/>
    </xf>
    <xf numFmtId="0" fontId="10" fillId="8" borderId="14" xfId="0" applyFont="1" applyFill="1" applyBorder="1" applyAlignment="1">
      <alignment horizontal="center" wrapText="1"/>
    </xf>
    <xf numFmtId="49" fontId="17" fillId="5" borderId="19" xfId="0" applyNumberFormat="1" applyFont="1" applyFill="1" applyBorder="1" applyAlignment="1">
      <alignment horizontal="center" wrapText="1"/>
    </xf>
    <xf numFmtId="49" fontId="17" fillId="5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Tv(f) Frequency Response</a:t>
            </a:r>
          </a:p>
        </c:rich>
      </c:tx>
      <c:layout>
        <c:manualLayout>
          <c:xMode val="edge"/>
          <c:yMode val="edge"/>
          <c:x val="0.35753453421062092"/>
          <c:y val="3.00230946882217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73979474782932"/>
          <c:y val="0.11778304275115783"/>
          <c:w val="0.78630189580338705"/>
          <c:h val="0.7297929707718798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'Voltage Loop'!$M$1</c:f>
              <c:strCache>
                <c:ptCount val="1"/>
                <c:pt idx="0">
                  <c:v>TvdB(f)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'Voltage Loop'!$B$2:$B$101</c:f>
              <c:numCache>
                <c:formatCode>General</c:formatCode>
                <c:ptCount val="100"/>
                <c:pt idx="0">
                  <c:v>100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3500.0000000000005</c:v>
                </c:pt>
                <c:pt idx="7">
                  <c:v>4000</c:v>
                </c:pt>
                <c:pt idx="8">
                  <c:v>4500</c:v>
                </c:pt>
                <c:pt idx="9">
                  <c:v>5000</c:v>
                </c:pt>
                <c:pt idx="10">
                  <c:v>5500</c:v>
                </c:pt>
                <c:pt idx="11">
                  <c:v>6000</c:v>
                </c:pt>
                <c:pt idx="12">
                  <c:v>6500</c:v>
                </c:pt>
                <c:pt idx="13">
                  <c:v>7000.0000000000009</c:v>
                </c:pt>
                <c:pt idx="14">
                  <c:v>7500</c:v>
                </c:pt>
                <c:pt idx="15">
                  <c:v>8000</c:v>
                </c:pt>
                <c:pt idx="16">
                  <c:v>8500</c:v>
                </c:pt>
                <c:pt idx="17">
                  <c:v>9000</c:v>
                </c:pt>
                <c:pt idx="18">
                  <c:v>9500</c:v>
                </c:pt>
                <c:pt idx="19">
                  <c:v>10000</c:v>
                </c:pt>
                <c:pt idx="20">
                  <c:v>10500</c:v>
                </c:pt>
                <c:pt idx="21">
                  <c:v>11000</c:v>
                </c:pt>
                <c:pt idx="22">
                  <c:v>11500</c:v>
                </c:pt>
                <c:pt idx="23">
                  <c:v>12000</c:v>
                </c:pt>
                <c:pt idx="24">
                  <c:v>12500</c:v>
                </c:pt>
                <c:pt idx="25">
                  <c:v>13000</c:v>
                </c:pt>
                <c:pt idx="26">
                  <c:v>13500</c:v>
                </c:pt>
                <c:pt idx="27">
                  <c:v>14000.000000000002</c:v>
                </c:pt>
                <c:pt idx="28">
                  <c:v>14499.999999999998</c:v>
                </c:pt>
                <c:pt idx="29">
                  <c:v>15000</c:v>
                </c:pt>
                <c:pt idx="30">
                  <c:v>15500</c:v>
                </c:pt>
                <c:pt idx="31">
                  <c:v>16000</c:v>
                </c:pt>
                <c:pt idx="32">
                  <c:v>16500</c:v>
                </c:pt>
                <c:pt idx="33">
                  <c:v>17000</c:v>
                </c:pt>
                <c:pt idx="34">
                  <c:v>17500</c:v>
                </c:pt>
                <c:pt idx="35">
                  <c:v>18000</c:v>
                </c:pt>
                <c:pt idx="36">
                  <c:v>18500</c:v>
                </c:pt>
                <c:pt idx="37">
                  <c:v>19000</c:v>
                </c:pt>
                <c:pt idx="38">
                  <c:v>19500</c:v>
                </c:pt>
                <c:pt idx="39">
                  <c:v>20000</c:v>
                </c:pt>
                <c:pt idx="40">
                  <c:v>20500</c:v>
                </c:pt>
                <c:pt idx="41">
                  <c:v>21000</c:v>
                </c:pt>
                <c:pt idx="42">
                  <c:v>21500</c:v>
                </c:pt>
                <c:pt idx="43">
                  <c:v>22000</c:v>
                </c:pt>
                <c:pt idx="44">
                  <c:v>22500</c:v>
                </c:pt>
                <c:pt idx="45">
                  <c:v>23000</c:v>
                </c:pt>
                <c:pt idx="46">
                  <c:v>23500</c:v>
                </c:pt>
                <c:pt idx="47">
                  <c:v>24000</c:v>
                </c:pt>
                <c:pt idx="48">
                  <c:v>24500</c:v>
                </c:pt>
                <c:pt idx="49">
                  <c:v>25000</c:v>
                </c:pt>
                <c:pt idx="50">
                  <c:v>25500</c:v>
                </c:pt>
                <c:pt idx="51">
                  <c:v>26000</c:v>
                </c:pt>
                <c:pt idx="52">
                  <c:v>26500</c:v>
                </c:pt>
                <c:pt idx="53">
                  <c:v>27000</c:v>
                </c:pt>
                <c:pt idx="54">
                  <c:v>27500.000000000004</c:v>
                </c:pt>
                <c:pt idx="55">
                  <c:v>28000.000000000004</c:v>
                </c:pt>
                <c:pt idx="56">
                  <c:v>28499.999999999996</c:v>
                </c:pt>
                <c:pt idx="57">
                  <c:v>28999.999999999996</c:v>
                </c:pt>
                <c:pt idx="58">
                  <c:v>29500</c:v>
                </c:pt>
                <c:pt idx="59">
                  <c:v>30000</c:v>
                </c:pt>
                <c:pt idx="60">
                  <c:v>30500</c:v>
                </c:pt>
                <c:pt idx="61">
                  <c:v>31000</c:v>
                </c:pt>
                <c:pt idx="62">
                  <c:v>31500</c:v>
                </c:pt>
                <c:pt idx="63">
                  <c:v>32000</c:v>
                </c:pt>
                <c:pt idx="64">
                  <c:v>32500</c:v>
                </c:pt>
                <c:pt idx="65">
                  <c:v>33000</c:v>
                </c:pt>
                <c:pt idx="66">
                  <c:v>33500</c:v>
                </c:pt>
                <c:pt idx="67">
                  <c:v>34000</c:v>
                </c:pt>
                <c:pt idx="68">
                  <c:v>34500</c:v>
                </c:pt>
                <c:pt idx="69">
                  <c:v>35000</c:v>
                </c:pt>
                <c:pt idx="70">
                  <c:v>35500</c:v>
                </c:pt>
                <c:pt idx="71">
                  <c:v>36000</c:v>
                </c:pt>
                <c:pt idx="72">
                  <c:v>36500</c:v>
                </c:pt>
                <c:pt idx="73">
                  <c:v>37000</c:v>
                </c:pt>
                <c:pt idx="74">
                  <c:v>37500</c:v>
                </c:pt>
                <c:pt idx="75">
                  <c:v>38000</c:v>
                </c:pt>
                <c:pt idx="76">
                  <c:v>38500</c:v>
                </c:pt>
                <c:pt idx="77">
                  <c:v>39000</c:v>
                </c:pt>
                <c:pt idx="78">
                  <c:v>39500</c:v>
                </c:pt>
                <c:pt idx="79">
                  <c:v>40000</c:v>
                </c:pt>
                <c:pt idx="80">
                  <c:v>40500</c:v>
                </c:pt>
                <c:pt idx="81">
                  <c:v>41000</c:v>
                </c:pt>
                <c:pt idx="82">
                  <c:v>41500</c:v>
                </c:pt>
                <c:pt idx="83">
                  <c:v>42000</c:v>
                </c:pt>
                <c:pt idx="84">
                  <c:v>42500</c:v>
                </c:pt>
                <c:pt idx="85">
                  <c:v>43000</c:v>
                </c:pt>
                <c:pt idx="86">
                  <c:v>43500</c:v>
                </c:pt>
                <c:pt idx="87">
                  <c:v>44000</c:v>
                </c:pt>
                <c:pt idx="88">
                  <c:v>44500</c:v>
                </c:pt>
                <c:pt idx="89">
                  <c:v>45000</c:v>
                </c:pt>
                <c:pt idx="90">
                  <c:v>45500</c:v>
                </c:pt>
                <c:pt idx="91">
                  <c:v>46000</c:v>
                </c:pt>
                <c:pt idx="92">
                  <c:v>46500</c:v>
                </c:pt>
                <c:pt idx="93">
                  <c:v>47000</c:v>
                </c:pt>
                <c:pt idx="94">
                  <c:v>47500</c:v>
                </c:pt>
                <c:pt idx="95">
                  <c:v>48000</c:v>
                </c:pt>
                <c:pt idx="96">
                  <c:v>48500</c:v>
                </c:pt>
                <c:pt idx="97">
                  <c:v>49000</c:v>
                </c:pt>
                <c:pt idx="98">
                  <c:v>49500</c:v>
                </c:pt>
                <c:pt idx="99">
                  <c:v>50000</c:v>
                </c:pt>
              </c:numCache>
            </c:numRef>
          </c:xVal>
          <c:yVal>
            <c:numRef>
              <c:f>'Voltage Loop'!$M$2:$M$101</c:f>
              <c:numCache>
                <c:formatCode>General</c:formatCode>
                <c:ptCount val="100"/>
                <c:pt idx="0">
                  <c:v>37.947928409481321</c:v>
                </c:pt>
                <c:pt idx="1">
                  <c:v>5.0202464760362622</c:v>
                </c:pt>
                <c:pt idx="2">
                  <c:v>1.2353415753874479</c:v>
                </c:pt>
                <c:pt idx="3">
                  <c:v>-1.1609610184485248</c:v>
                </c:pt>
                <c:pt idx="4">
                  <c:v>-2.8733815210761406</c:v>
                </c:pt>
                <c:pt idx="5">
                  <c:v>-4.188517377647921</c:v>
                </c:pt>
                <c:pt idx="6">
                  <c:v>-5.2514778005633742</c:v>
                </c:pt>
                <c:pt idx="7">
                  <c:v>-6.1445771736478623</c:v>
                </c:pt>
                <c:pt idx="8">
                  <c:v>-6.9176310713662303</c:v>
                </c:pt>
                <c:pt idx="9">
                  <c:v>-7.6021149127748178</c:v>
                </c:pt>
                <c:pt idx="10">
                  <c:v>-8.218614167404187</c:v>
                </c:pt>
                <c:pt idx="11">
                  <c:v>-8.7810296005165878</c:v>
                </c:pt>
                <c:pt idx="12">
                  <c:v>-9.2990543167862185</c:v>
                </c:pt>
                <c:pt idx="13">
                  <c:v>-9.7796749194934698</c:v>
                </c:pt>
                <c:pt idx="14">
                  <c:v>-10.228101229720091</c:v>
                </c:pt>
                <c:pt idx="15">
                  <c:v>-10.648353123409244</c:v>
                </c:pt>
                <c:pt idx="16">
                  <c:v>-11.043637795462768</c:v>
                </c:pt>
                <c:pt idx="17">
                  <c:v>-11.416596902255169</c:v>
                </c:pt>
                <c:pt idx="18">
                  <c:v>-11.769471716783189</c:v>
                </c:pt>
                <c:pt idx="19">
                  <c:v>-12.104215859441593</c:v>
                </c:pt>
                <c:pt idx="20">
                  <c:v>-12.422573983835237</c:v>
                </c:pt>
                <c:pt idx="21">
                  <c:v>-12.726137971045727</c:v>
                </c:pt>
                <c:pt idx="22">
                  <c:v>-13.016387965607787</c:v>
                </c:pt>
                <c:pt idx="23">
                  <c:v>-13.294722943073277</c:v>
                </c:pt>
                <c:pt idx="24">
                  <c:v>-13.562483820494741</c:v>
                </c:pt>
                <c:pt idx="25">
                  <c:v>-13.820971039784771</c:v>
                </c:pt>
                <c:pt idx="26">
                  <c:v>-14.071457847129565</c:v>
                </c:pt>
                <c:pt idx="27">
                  <c:v>-14.315200024033905</c:v>
                </c:pt>
                <c:pt idx="28">
                  <c:v>-14.553442514788038</c:v>
                </c:pt>
                <c:pt idx="29">
                  <c:v>-14.787423191475908</c:v>
                </c:pt>
                <c:pt idx="30">
                  <c:v>-15.01837387164702</c:v>
                </c:pt>
                <c:pt idx="31">
                  <c:v>-15.247518638516311</c:v>
                </c:pt>
                <c:pt idx="32">
                  <c:v>-15.476069499470233</c:v>
                </c:pt>
                <c:pt idx="33">
                  <c:v>-15.705219449959596</c:v>
                </c:pt>
                <c:pt idx="34">
                  <c:v>-15.93613308174527</c:v>
                </c:pt>
                <c:pt idx="35">
                  <c:v>-16.169934980972958</c:v>
                </c:pt>
                <c:pt idx="36">
                  <c:v>-16.407696293864763</c:v>
                </c:pt>
                <c:pt idx="37">
                  <c:v>-16.650419983306708</c:v>
                </c:pt>
                <c:pt idx="38">
                  <c:v>-16.899025441730771</c:v>
                </c:pt>
                <c:pt idx="39">
                  <c:v>-17.154333245003858</c:v>
                </c:pt>
                <c:pt idx="40">
                  <c:v>-17.417050908348337</c:v>
                </c:pt>
                <c:pt idx="41">
                  <c:v>-17.687760520779399</c:v>
                </c:pt>
                <c:pt idx="42">
                  <c:v>-17.966909077109626</c:v>
                </c:pt>
                <c:pt idx="43">
                  <c:v>-18.254802193087031</c:v>
                </c:pt>
                <c:pt idx="44">
                  <c:v>-18.551601687261151</c:v>
                </c:pt>
                <c:pt idx="45">
                  <c:v>-18.857327260811292</c:v>
                </c:pt>
                <c:pt idx="46">
                  <c:v>-19.171862230200137</c:v>
                </c:pt>
                <c:pt idx="47">
                  <c:v>-19.494962997549713</c:v>
                </c:pt>
                <c:pt idx="48">
                  <c:v>-19.826271709511293</c:v>
                </c:pt>
                <c:pt idx="49">
                  <c:v>-20.165331380657538</c:v>
                </c:pt>
                <c:pt idx="50">
                  <c:v>-20.511602656256393</c:v>
                </c:pt>
                <c:pt idx="51">
                  <c:v>-20.864481365028045</c:v>
                </c:pt>
                <c:pt idx="52">
                  <c:v>-21.223316058400442</c:v>
                </c:pt>
                <c:pt idx="53">
                  <c:v>-21.587424834418481</c:v>
                </c:pt>
                <c:pt idx="54">
                  <c:v>-21.956110883125277</c:v>
                </c:pt>
                <c:pt idx="55">
                  <c:v>-22.328676346381293</c:v>
                </c:pt>
                <c:pt idx="56">
                  <c:v>-22.704434241225844</c:v>
                </c:pt>
                <c:pt idx="57">
                  <c:v>-23.082718338403328</c:v>
                </c:pt>
                <c:pt idx="58">
                  <c:v>-23.462891007642273</c:v>
                </c:pt>
                <c:pt idx="59">
                  <c:v>-23.844349134284371</c:v>
                </c:pt>
                <c:pt idx="60">
                  <c:v>-24.226528277306912</c:v>
                </c:pt>
                <c:pt idx="61">
                  <c:v>-24.608905278837291</c:v>
                </c:pt>
                <c:pt idx="62">
                  <c:v>-24.990999553744938</c:v>
                </c:pt>
                <c:pt idx="63">
                  <c:v>-25.372373289429401</c:v>
                </c:pt>
                <c:pt idx="64">
                  <c:v>-25.752630775110052</c:v>
                </c:pt>
                <c:pt idx="65">
                  <c:v>-26.131417060990479</c:v>
                </c:pt>
                <c:pt idx="66">
                  <c:v>-26.508416124109367</c:v>
                </c:pt>
                <c:pt idx="67">
                  <c:v>-26.883348692276083</c:v>
                </c:pt>
                <c:pt idx="68">
                  <c:v>-27.2559698521958</c:v>
                </c:pt>
                <c:pt idx="69">
                  <c:v>-27.626066544085429</c:v>
                </c:pt>
                <c:pt idx="70">
                  <c:v>-27.993455023562476</c:v>
                </c:pt>
                <c:pt idx="71">
                  <c:v>-28.357978352765297</c:v>
                </c:pt>
                <c:pt idx="72">
                  <c:v>-28.719503966636818</c:v>
                </c:pt>
                <c:pt idx="73">
                  <c:v>-29.077921346983103</c:v>
                </c:pt>
                <c:pt idx="74">
                  <c:v>-29.433139826089779</c:v>
                </c:pt>
                <c:pt idx="75">
                  <c:v>-29.785086533065463</c:v>
                </c:pt>
                <c:pt idx="76">
                  <c:v>-30.133704489373194</c:v>
                </c:pt>
                <c:pt idx="77">
                  <c:v>-30.478950854914643</c:v>
                </c:pt>
                <c:pt idx="78">
                  <c:v>-30.820795322265511</c:v>
                </c:pt>
                <c:pt idx="79">
                  <c:v>-31.159218653968026</c:v>
                </c:pt>
                <c:pt idx="80">
                  <c:v>-31.494211355952366</c:v>
                </c:pt>
                <c:pt idx="81">
                  <c:v>-31.825772478997969</c:v>
                </c:pt>
                <c:pt idx="82">
                  <c:v>-32.153908539494452</c:v>
                </c:pt>
                <c:pt idx="83">
                  <c:v>-32.478632550507875</c:v>
                </c:pt>
                <c:pt idx="84">
                  <c:v>-32.799963154179466</c:v>
                </c:pt>
                <c:pt idx="85">
                  <c:v>-33.117923846718476</c:v>
                </c:pt>
                <c:pt idx="86">
                  <c:v>-33.432542287616968</c:v>
                </c:pt>
                <c:pt idx="87">
                  <c:v>-33.743849685181303</c:v>
                </c:pt>
                <c:pt idx="88">
                  <c:v>-34.051880250985597</c:v>
                </c:pt>
                <c:pt idx="89">
                  <c:v>-34.356670716393182</c:v>
                </c:pt>
                <c:pt idx="90">
                  <c:v>-34.658259904838403</c:v>
                </c:pt>
                <c:pt idx="91">
                  <c:v>-34.956688354094581</c:v>
                </c:pt>
                <c:pt idx="92">
                  <c:v>-35.251997983267927</c:v>
                </c:pt>
                <c:pt idx="93">
                  <c:v>-35.544231799748857</c:v>
                </c:pt>
                <c:pt idx="94">
                  <c:v>-35.833433641803303</c:v>
                </c:pt>
                <c:pt idx="95">
                  <c:v>-36.119647952918534</c:v>
                </c:pt>
                <c:pt idx="96">
                  <c:v>-36.402919584404366</c:v>
                </c:pt>
                <c:pt idx="97">
                  <c:v>-36.683293623111595</c:v>
                </c:pt>
                <c:pt idx="98">
                  <c:v>-36.9608152414553</c:v>
                </c:pt>
                <c:pt idx="99">
                  <c:v>-37.235529567228319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8E-4A5B-868A-6D31AF407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253840"/>
        <c:axId val="1"/>
      </c:scatterChart>
      <c:scatterChart>
        <c:scatterStyle val="lineMarker"/>
        <c:varyColors val="0"/>
        <c:ser>
          <c:idx val="2"/>
          <c:order val="1"/>
          <c:tx>
            <c:strRef>
              <c:f>'Voltage Loop'!$O$1</c:f>
              <c:strCache>
                <c:ptCount val="1"/>
                <c:pt idx="0">
                  <c:v>ӨTv(f)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'Voltage Loop'!$B$2:$B$101</c:f>
              <c:numCache>
                <c:formatCode>General</c:formatCode>
                <c:ptCount val="100"/>
                <c:pt idx="0">
                  <c:v>100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3500.0000000000005</c:v>
                </c:pt>
                <c:pt idx="7">
                  <c:v>4000</c:v>
                </c:pt>
                <c:pt idx="8">
                  <c:v>4500</c:v>
                </c:pt>
                <c:pt idx="9">
                  <c:v>5000</c:v>
                </c:pt>
                <c:pt idx="10">
                  <c:v>5500</c:v>
                </c:pt>
                <c:pt idx="11">
                  <c:v>6000</c:v>
                </c:pt>
                <c:pt idx="12">
                  <c:v>6500</c:v>
                </c:pt>
                <c:pt idx="13">
                  <c:v>7000.0000000000009</c:v>
                </c:pt>
                <c:pt idx="14">
                  <c:v>7500</c:v>
                </c:pt>
                <c:pt idx="15">
                  <c:v>8000</c:v>
                </c:pt>
                <c:pt idx="16">
                  <c:v>8500</c:v>
                </c:pt>
                <c:pt idx="17">
                  <c:v>9000</c:v>
                </c:pt>
                <c:pt idx="18">
                  <c:v>9500</c:v>
                </c:pt>
                <c:pt idx="19">
                  <c:v>10000</c:v>
                </c:pt>
                <c:pt idx="20">
                  <c:v>10500</c:v>
                </c:pt>
                <c:pt idx="21">
                  <c:v>11000</c:v>
                </c:pt>
                <c:pt idx="22">
                  <c:v>11500</c:v>
                </c:pt>
                <c:pt idx="23">
                  <c:v>12000</c:v>
                </c:pt>
                <c:pt idx="24">
                  <c:v>12500</c:v>
                </c:pt>
                <c:pt idx="25">
                  <c:v>13000</c:v>
                </c:pt>
                <c:pt idx="26">
                  <c:v>13500</c:v>
                </c:pt>
                <c:pt idx="27">
                  <c:v>14000.000000000002</c:v>
                </c:pt>
                <c:pt idx="28">
                  <c:v>14499.999999999998</c:v>
                </c:pt>
                <c:pt idx="29">
                  <c:v>15000</c:v>
                </c:pt>
                <c:pt idx="30">
                  <c:v>15500</c:v>
                </c:pt>
                <c:pt idx="31">
                  <c:v>16000</c:v>
                </c:pt>
                <c:pt idx="32">
                  <c:v>16500</c:v>
                </c:pt>
                <c:pt idx="33">
                  <c:v>17000</c:v>
                </c:pt>
                <c:pt idx="34">
                  <c:v>17500</c:v>
                </c:pt>
                <c:pt idx="35">
                  <c:v>18000</c:v>
                </c:pt>
                <c:pt idx="36">
                  <c:v>18500</c:v>
                </c:pt>
                <c:pt idx="37">
                  <c:v>19000</c:v>
                </c:pt>
                <c:pt idx="38">
                  <c:v>19500</c:v>
                </c:pt>
                <c:pt idx="39">
                  <c:v>20000</c:v>
                </c:pt>
                <c:pt idx="40">
                  <c:v>20500</c:v>
                </c:pt>
                <c:pt idx="41">
                  <c:v>21000</c:v>
                </c:pt>
                <c:pt idx="42">
                  <c:v>21500</c:v>
                </c:pt>
                <c:pt idx="43">
                  <c:v>22000</c:v>
                </c:pt>
                <c:pt idx="44">
                  <c:v>22500</c:v>
                </c:pt>
                <c:pt idx="45">
                  <c:v>23000</c:v>
                </c:pt>
                <c:pt idx="46">
                  <c:v>23500</c:v>
                </c:pt>
                <c:pt idx="47">
                  <c:v>24000</c:v>
                </c:pt>
                <c:pt idx="48">
                  <c:v>24500</c:v>
                </c:pt>
                <c:pt idx="49">
                  <c:v>25000</c:v>
                </c:pt>
                <c:pt idx="50">
                  <c:v>25500</c:v>
                </c:pt>
                <c:pt idx="51">
                  <c:v>26000</c:v>
                </c:pt>
                <c:pt idx="52">
                  <c:v>26500</c:v>
                </c:pt>
                <c:pt idx="53">
                  <c:v>27000</c:v>
                </c:pt>
                <c:pt idx="54">
                  <c:v>27500.000000000004</c:v>
                </c:pt>
                <c:pt idx="55">
                  <c:v>28000.000000000004</c:v>
                </c:pt>
                <c:pt idx="56">
                  <c:v>28499.999999999996</c:v>
                </c:pt>
                <c:pt idx="57">
                  <c:v>28999.999999999996</c:v>
                </c:pt>
                <c:pt idx="58">
                  <c:v>29500</c:v>
                </c:pt>
                <c:pt idx="59">
                  <c:v>30000</c:v>
                </c:pt>
                <c:pt idx="60">
                  <c:v>30500</c:v>
                </c:pt>
                <c:pt idx="61">
                  <c:v>31000</c:v>
                </c:pt>
                <c:pt idx="62">
                  <c:v>31500</c:v>
                </c:pt>
                <c:pt idx="63">
                  <c:v>32000</c:v>
                </c:pt>
                <c:pt idx="64">
                  <c:v>32500</c:v>
                </c:pt>
                <c:pt idx="65">
                  <c:v>33000</c:v>
                </c:pt>
                <c:pt idx="66">
                  <c:v>33500</c:v>
                </c:pt>
                <c:pt idx="67">
                  <c:v>34000</c:v>
                </c:pt>
                <c:pt idx="68">
                  <c:v>34500</c:v>
                </c:pt>
                <c:pt idx="69">
                  <c:v>35000</c:v>
                </c:pt>
                <c:pt idx="70">
                  <c:v>35500</c:v>
                </c:pt>
                <c:pt idx="71">
                  <c:v>36000</c:v>
                </c:pt>
                <c:pt idx="72">
                  <c:v>36500</c:v>
                </c:pt>
                <c:pt idx="73">
                  <c:v>37000</c:v>
                </c:pt>
                <c:pt idx="74">
                  <c:v>37500</c:v>
                </c:pt>
                <c:pt idx="75">
                  <c:v>38000</c:v>
                </c:pt>
                <c:pt idx="76">
                  <c:v>38500</c:v>
                </c:pt>
                <c:pt idx="77">
                  <c:v>39000</c:v>
                </c:pt>
                <c:pt idx="78">
                  <c:v>39500</c:v>
                </c:pt>
                <c:pt idx="79">
                  <c:v>40000</c:v>
                </c:pt>
                <c:pt idx="80">
                  <c:v>40500</c:v>
                </c:pt>
                <c:pt idx="81">
                  <c:v>41000</c:v>
                </c:pt>
                <c:pt idx="82">
                  <c:v>41500</c:v>
                </c:pt>
                <c:pt idx="83">
                  <c:v>42000</c:v>
                </c:pt>
                <c:pt idx="84">
                  <c:v>42500</c:v>
                </c:pt>
                <c:pt idx="85">
                  <c:v>43000</c:v>
                </c:pt>
                <c:pt idx="86">
                  <c:v>43500</c:v>
                </c:pt>
                <c:pt idx="87">
                  <c:v>44000</c:v>
                </c:pt>
                <c:pt idx="88">
                  <c:v>44500</c:v>
                </c:pt>
                <c:pt idx="89">
                  <c:v>45000</c:v>
                </c:pt>
                <c:pt idx="90">
                  <c:v>45500</c:v>
                </c:pt>
                <c:pt idx="91">
                  <c:v>46000</c:v>
                </c:pt>
                <c:pt idx="92">
                  <c:v>46500</c:v>
                </c:pt>
                <c:pt idx="93">
                  <c:v>47000</c:v>
                </c:pt>
                <c:pt idx="94">
                  <c:v>47500</c:v>
                </c:pt>
                <c:pt idx="95">
                  <c:v>48000</c:v>
                </c:pt>
                <c:pt idx="96">
                  <c:v>48500</c:v>
                </c:pt>
                <c:pt idx="97">
                  <c:v>49000</c:v>
                </c:pt>
                <c:pt idx="98">
                  <c:v>49500</c:v>
                </c:pt>
                <c:pt idx="99">
                  <c:v>50000</c:v>
                </c:pt>
              </c:numCache>
            </c:numRef>
          </c:xVal>
          <c:yVal>
            <c:numRef>
              <c:f>'Voltage Loop'!$O$2:$O$101</c:f>
              <c:numCache>
                <c:formatCode>General</c:formatCode>
                <c:ptCount val="100"/>
                <c:pt idx="0">
                  <c:v>12.205360135066741</c:v>
                </c:pt>
                <c:pt idx="1">
                  <c:v>67.234120794830744</c:v>
                </c:pt>
                <c:pt idx="2">
                  <c:v>76.572419434463541</c:v>
                </c:pt>
                <c:pt idx="3">
                  <c:v>81.672253145529695</c:v>
                </c:pt>
                <c:pt idx="4">
                  <c:v>84.584672134948789</c:v>
                </c:pt>
                <c:pt idx="5">
                  <c:v>86.156148807851935</c:v>
                </c:pt>
                <c:pt idx="6">
                  <c:v>86.829084265392524</c:v>
                </c:pt>
                <c:pt idx="7">
                  <c:v>86.873779130022058</c:v>
                </c:pt>
                <c:pt idx="8">
                  <c:v>86.469976348511665</c:v>
                </c:pt>
                <c:pt idx="9">
                  <c:v>85.742029853240012</c:v>
                </c:pt>
                <c:pt idx="10">
                  <c:v>84.777383016600396</c:v>
                </c:pt>
                <c:pt idx="11">
                  <c:v>83.637837151513963</c:v>
                </c:pt>
                <c:pt idx="12">
                  <c:v>82.367047520066365</c:v>
                </c:pt>
                <c:pt idx="13">
                  <c:v>80.995723795910763</c:v>
                </c:pt>
                <c:pt idx="14">
                  <c:v>79.545303809517677</c:v>
                </c:pt>
                <c:pt idx="15">
                  <c:v>78.030568546794427</c:v>
                </c:pt>
                <c:pt idx="16">
                  <c:v>76.461510769640711</c:v>
                </c:pt>
                <c:pt idx="17">
                  <c:v>74.844674746250732</c:v>
                </c:pt>
                <c:pt idx="18">
                  <c:v>73.184120892564124</c:v>
                </c:pt>
                <c:pt idx="19">
                  <c:v>71.482124563372849</c:v>
                </c:pt>
                <c:pt idx="20">
                  <c:v>69.739686633987432</c:v>
                </c:pt>
                <c:pt idx="21">
                  <c:v>67.956911064664681</c:v>
                </c:pt>
                <c:pt idx="22">
                  <c:v>66.133288707345173</c:v>
                </c:pt>
                <c:pt idx="23">
                  <c:v>64.267915309454764</c:v>
                </c:pt>
                <c:pt idx="24">
                  <c:v>62.359663629770566</c:v>
                </c:pt>
                <c:pt idx="25">
                  <c:v>60.407323827569982</c:v>
                </c:pt>
                <c:pt idx="26">
                  <c:v>58.409722119820302</c:v>
                </c:pt>
                <c:pt idx="27">
                  <c:v>56.365824627190307</c:v>
                </c:pt>
                <c:pt idx="28">
                  <c:v>54.274831000823212</c:v>
                </c:pt>
                <c:pt idx="29">
                  <c:v>52.136260598167127</c:v>
                </c:pt>
                <c:pt idx="30">
                  <c:v>49.950032497648891</c:v>
                </c:pt>
                <c:pt idx="31">
                  <c:v>47.716539409477264</c:v>
                </c:pt>
                <c:pt idx="32">
                  <c:v>45.436714502573238</c:v>
                </c:pt>
                <c:pt idx="33">
                  <c:v>43.112089313684351</c:v>
                </c:pt>
                <c:pt idx="34">
                  <c:v>40.744840252937962</c:v>
                </c:pt>
                <c:pt idx="35">
                  <c:v>38.337820810988603</c:v>
                </c:pt>
                <c:pt idx="36">
                  <c:v>35.894576457645059</c:v>
                </c:pt>
                <c:pt idx="37">
                  <c:v>33.419339448464484</c:v>
                </c:pt>
                <c:pt idx="38">
                  <c:v>30.917001353698168</c:v>
                </c:pt>
                <c:pt idx="39">
                  <c:v>28.393062088543502</c:v>
                </c:pt>
                <c:pt idx="40">
                  <c:v>25.853555504183362</c:v>
                </c:pt>
                <c:pt idx="41">
                  <c:v>23.304953093767892</c:v>
                </c:pt>
                <c:pt idx="42">
                  <c:v>20.754048928530608</c:v>
                </c:pt>
                <c:pt idx="43">
                  <c:v>18.207830389143055</c:v>
                </c:pt>
                <c:pt idx="44">
                  <c:v>15.67334041501627</c:v>
                </c:pt>
                <c:pt idx="45">
                  <c:v>13.157537705154397</c:v>
                </c:pt>
                <c:pt idx="46">
                  <c:v>10.667161469316795</c:v>
                </c:pt>
                <c:pt idx="47">
                  <c:v>8.208606922930187</c:v>
                </c:pt>
                <c:pt idx="48">
                  <c:v>5.787816797892674</c:v>
                </c:pt>
                <c:pt idx="49">
                  <c:v>3.4101928267199924</c:v>
                </c:pt>
                <c:pt idx="50">
                  <c:v>1.0805296165260927</c:v>
                </c:pt>
                <c:pt idx="51">
                  <c:v>-1.1970282567109507</c:v>
                </c:pt>
                <c:pt idx="52">
                  <c:v>-3.4190065685700688</c:v>
                </c:pt>
                <c:pt idx="53">
                  <c:v>-5.5826010337621028</c:v>
                </c:pt>
                <c:pt idx="54">
                  <c:v>-7.685658906120409</c:v>
                </c:pt>
                <c:pt idx="55">
                  <c:v>-9.7266458795231188</c:v>
                </c:pt>
                <c:pt idx="56">
                  <c:v>-11.704601791474772</c:v>
                </c:pt>
                <c:pt idx="57">
                  <c:v>-13.619088565272932</c:v>
                </c:pt>
                <c:pt idx="58">
                  <c:v>-15.470133550072319</c:v>
                </c:pt>
                <c:pt idx="59">
                  <c:v>-17.258171003087455</c:v>
                </c:pt>
                <c:pt idx="60">
                  <c:v>-18.983983971391922</c:v>
                </c:pt>
                <c:pt idx="61">
                  <c:v>-20.64864832738732</c:v>
                </c:pt>
                <c:pt idx="62">
                  <c:v>-22.253480232873471</c:v>
                </c:pt>
                <c:pt idx="63">
                  <c:v>-23.799987878545949</c:v>
                </c:pt>
                <c:pt idx="64">
                  <c:v>-25.289827983065379</c:v>
                </c:pt>
                <c:pt idx="65">
                  <c:v>-26.72476724333751</c:v>
                </c:pt>
                <c:pt idx="66">
                  <c:v>-28.106648703116946</c:v>
                </c:pt>
                <c:pt idx="67">
                  <c:v>-29.437362843960841</c:v>
                </c:pt>
                <c:pt idx="68">
                  <c:v>-30.718823092080925</c:v>
                </c:pt>
                <c:pt idx="69">
                  <c:v>-31.952945367182849</c:v>
                </c:pt>
                <c:pt idx="70">
                  <c:v>-33.141631265604474</c:v>
                </c:pt>
                <c:pt idx="71">
                  <c:v>-34.286754461614805</c:v>
                </c:pt>
                <c:pt idx="72">
                  <c:v>-35.390149920355839</c:v>
                </c:pt>
                <c:pt idx="73">
                  <c:v>-36.453605537747308</c:v>
                </c:pt>
                <c:pt idx="74">
                  <c:v>-37.478855852066204</c:v>
                </c:pt>
                <c:pt idx="75">
                  <c:v>-38.467577505298607</c:v>
                </c:pt>
                <c:pt idx="76">
                  <c:v>-39.421386167182959</c:v>
                </c:pt>
                <c:pt idx="77">
                  <c:v>-40.341834669276409</c:v>
                </c:pt>
                <c:pt idx="78">
                  <c:v>-41.230412129167576</c:v>
                </c:pt>
                <c:pt idx="79">
                  <c:v>-42.088543875408618</c:v>
                </c:pt>
                <c:pt idx="80">
                  <c:v>-42.917592011411102</c:v>
                </c:pt>
                <c:pt idx="81">
                  <c:v>-43.718856481320415</c:v>
                </c:pt>
                <c:pt idx="82">
                  <c:v>-44.493576522751709</c:v>
                </c:pt>
                <c:pt idx="83">
                  <c:v>-45.242932410366166</c:v>
                </c:pt>
                <c:pt idx="84">
                  <c:v>-45.9680474107912</c:v>
                </c:pt>
                <c:pt idx="85">
                  <c:v>-46.669989883571418</c:v>
                </c:pt>
                <c:pt idx="86">
                  <c:v>-47.349775474908256</c:v>
                </c:pt>
                <c:pt idx="87">
                  <c:v>-48.008369361186624</c:v>
                </c:pt>
                <c:pt idx="88">
                  <c:v>-48.646688507878935</c:v>
                </c:pt>
                <c:pt idx="89">
                  <c:v>-49.265603916628152</c:v>
                </c:pt>
                <c:pt idx="90">
                  <c:v>-49.865942839286333</c:v>
                </c:pt>
                <c:pt idx="91">
                  <c:v>-50.448490942665615</c:v>
                </c:pt>
                <c:pt idx="92">
                  <c:v>-51.013994411817919</c:v>
                </c:pt>
                <c:pt idx="93">
                  <c:v>-51.563161983012606</c:v>
                </c:pt>
                <c:pt idx="94">
                  <c:v>-52.096666900292576</c:v>
                </c:pt>
                <c:pt idx="95">
                  <c:v>-52.615148791684135</c:v>
                </c:pt>
                <c:pt idx="96">
                  <c:v>-53.119215462895681</c:v>
                </c:pt>
                <c:pt idx="97">
                  <c:v>-53.609444607734531</c:v>
                </c:pt>
                <c:pt idx="98">
                  <c:v>-54.08638543556782</c:v>
                </c:pt>
                <c:pt idx="99">
                  <c:v>-54.550560217013128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8E-4A5B-868A-6D31AF407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556253840"/>
        <c:scaling>
          <c:logBase val="10"/>
          <c:orientation val="minMax"/>
          <c:min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 in Hz</a:t>
                </a:r>
              </a:p>
            </c:rich>
          </c:tx>
          <c:layout>
            <c:manualLayout>
              <c:xMode val="edge"/>
              <c:yMode val="edge"/>
              <c:x val="0.41506878078596338"/>
              <c:y val="0.926097967546204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80"/>
        <c:crossBetween val="midCat"/>
      </c:valAx>
      <c:valAx>
        <c:axId val="1"/>
        <c:scaling>
          <c:orientation val="minMax"/>
          <c:max val="80"/>
          <c:min val="-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Gain in dB</a:t>
                </a:r>
              </a:p>
            </c:rich>
          </c:tx>
          <c:layout>
            <c:manualLayout>
              <c:xMode val="edge"/>
              <c:yMode val="edge"/>
              <c:x val="1.643835616438356E-2"/>
              <c:y val="0.39261018469688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253840"/>
        <c:crosses val="autoZero"/>
        <c:crossBetween val="midCat"/>
      </c:valAx>
      <c:valAx>
        <c:axId val="3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180"/>
          <c:min val="-180"/>
        </c:scaling>
        <c:delete val="0"/>
        <c:axPos val="r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Phase in Degrees</a:t>
                </a:r>
              </a:p>
            </c:rich>
          </c:tx>
          <c:layout>
            <c:manualLayout>
              <c:xMode val="edge"/>
              <c:yMode val="edge"/>
              <c:x val="0.94794578075000901"/>
              <c:y val="0.334873464142617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midCat"/>
        <c:majorUnit val="4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424671916010497"/>
          <c:y val="0.70207924933170884"/>
          <c:w val="0.1356165821738036"/>
          <c:h val="0.113164214750292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Tv(f) Frequency Response</a:t>
            </a:r>
          </a:p>
        </c:rich>
      </c:tx>
      <c:layout>
        <c:manualLayout>
          <c:xMode val="edge"/>
          <c:yMode val="edge"/>
          <c:x val="0.32948963751853916"/>
          <c:y val="3.31632653061224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08410590965584"/>
          <c:y val="0.11734693877551021"/>
          <c:w val="0.79406983151467858"/>
          <c:h val="0.7397959183673469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'Voltage Loop'!$M$1</c:f>
              <c:strCache>
                <c:ptCount val="1"/>
                <c:pt idx="0">
                  <c:v>TvdB(f)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'Voltage Loop'!$B$2:$B$101</c:f>
              <c:numCache>
                <c:formatCode>General</c:formatCode>
                <c:ptCount val="100"/>
                <c:pt idx="0">
                  <c:v>100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3500.0000000000005</c:v>
                </c:pt>
                <c:pt idx="7">
                  <c:v>4000</c:v>
                </c:pt>
                <c:pt idx="8">
                  <c:v>4500</c:v>
                </c:pt>
                <c:pt idx="9">
                  <c:v>5000</c:v>
                </c:pt>
                <c:pt idx="10">
                  <c:v>5500</c:v>
                </c:pt>
                <c:pt idx="11">
                  <c:v>6000</c:v>
                </c:pt>
                <c:pt idx="12">
                  <c:v>6500</c:v>
                </c:pt>
                <c:pt idx="13">
                  <c:v>7000.0000000000009</c:v>
                </c:pt>
                <c:pt idx="14">
                  <c:v>7500</c:v>
                </c:pt>
                <c:pt idx="15">
                  <c:v>8000</c:v>
                </c:pt>
                <c:pt idx="16">
                  <c:v>8500</c:v>
                </c:pt>
                <c:pt idx="17">
                  <c:v>9000</c:v>
                </c:pt>
                <c:pt idx="18">
                  <c:v>9500</c:v>
                </c:pt>
                <c:pt idx="19">
                  <c:v>10000</c:v>
                </c:pt>
                <c:pt idx="20">
                  <c:v>10500</c:v>
                </c:pt>
                <c:pt idx="21">
                  <c:v>11000</c:v>
                </c:pt>
                <c:pt idx="22">
                  <c:v>11500</c:v>
                </c:pt>
                <c:pt idx="23">
                  <c:v>12000</c:v>
                </c:pt>
                <c:pt idx="24">
                  <c:v>12500</c:v>
                </c:pt>
                <c:pt idx="25">
                  <c:v>13000</c:v>
                </c:pt>
                <c:pt idx="26">
                  <c:v>13500</c:v>
                </c:pt>
                <c:pt idx="27">
                  <c:v>14000.000000000002</c:v>
                </c:pt>
                <c:pt idx="28">
                  <c:v>14499.999999999998</c:v>
                </c:pt>
                <c:pt idx="29">
                  <c:v>15000</c:v>
                </c:pt>
                <c:pt idx="30">
                  <c:v>15500</c:v>
                </c:pt>
                <c:pt idx="31">
                  <c:v>16000</c:v>
                </c:pt>
                <c:pt idx="32">
                  <c:v>16500</c:v>
                </c:pt>
                <c:pt idx="33">
                  <c:v>17000</c:v>
                </c:pt>
                <c:pt idx="34">
                  <c:v>17500</c:v>
                </c:pt>
                <c:pt idx="35">
                  <c:v>18000</c:v>
                </c:pt>
                <c:pt idx="36">
                  <c:v>18500</c:v>
                </c:pt>
                <c:pt idx="37">
                  <c:v>19000</c:v>
                </c:pt>
                <c:pt idx="38">
                  <c:v>19500</c:v>
                </c:pt>
                <c:pt idx="39">
                  <c:v>20000</c:v>
                </c:pt>
                <c:pt idx="40">
                  <c:v>20500</c:v>
                </c:pt>
                <c:pt idx="41">
                  <c:v>21000</c:v>
                </c:pt>
                <c:pt idx="42">
                  <c:v>21500</c:v>
                </c:pt>
                <c:pt idx="43">
                  <c:v>22000</c:v>
                </c:pt>
                <c:pt idx="44">
                  <c:v>22500</c:v>
                </c:pt>
                <c:pt idx="45">
                  <c:v>23000</c:v>
                </c:pt>
                <c:pt idx="46">
                  <c:v>23500</c:v>
                </c:pt>
                <c:pt idx="47">
                  <c:v>24000</c:v>
                </c:pt>
                <c:pt idx="48">
                  <c:v>24500</c:v>
                </c:pt>
                <c:pt idx="49">
                  <c:v>25000</c:v>
                </c:pt>
                <c:pt idx="50">
                  <c:v>25500</c:v>
                </c:pt>
                <c:pt idx="51">
                  <c:v>26000</c:v>
                </c:pt>
                <c:pt idx="52">
                  <c:v>26500</c:v>
                </c:pt>
                <c:pt idx="53">
                  <c:v>27000</c:v>
                </c:pt>
                <c:pt idx="54">
                  <c:v>27500.000000000004</c:v>
                </c:pt>
                <c:pt idx="55">
                  <c:v>28000.000000000004</c:v>
                </c:pt>
                <c:pt idx="56">
                  <c:v>28499.999999999996</c:v>
                </c:pt>
                <c:pt idx="57">
                  <c:v>28999.999999999996</c:v>
                </c:pt>
                <c:pt idx="58">
                  <c:v>29500</c:v>
                </c:pt>
                <c:pt idx="59">
                  <c:v>30000</c:v>
                </c:pt>
                <c:pt idx="60">
                  <c:v>30500</c:v>
                </c:pt>
                <c:pt idx="61">
                  <c:v>31000</c:v>
                </c:pt>
                <c:pt idx="62">
                  <c:v>31500</c:v>
                </c:pt>
                <c:pt idx="63">
                  <c:v>32000</c:v>
                </c:pt>
                <c:pt idx="64">
                  <c:v>32500</c:v>
                </c:pt>
                <c:pt idx="65">
                  <c:v>33000</c:v>
                </c:pt>
                <c:pt idx="66">
                  <c:v>33500</c:v>
                </c:pt>
                <c:pt idx="67">
                  <c:v>34000</c:v>
                </c:pt>
                <c:pt idx="68">
                  <c:v>34500</c:v>
                </c:pt>
                <c:pt idx="69">
                  <c:v>35000</c:v>
                </c:pt>
                <c:pt idx="70">
                  <c:v>35500</c:v>
                </c:pt>
                <c:pt idx="71">
                  <c:v>36000</c:v>
                </c:pt>
                <c:pt idx="72">
                  <c:v>36500</c:v>
                </c:pt>
                <c:pt idx="73">
                  <c:v>37000</c:v>
                </c:pt>
                <c:pt idx="74">
                  <c:v>37500</c:v>
                </c:pt>
                <c:pt idx="75">
                  <c:v>38000</c:v>
                </c:pt>
                <c:pt idx="76">
                  <c:v>38500</c:v>
                </c:pt>
                <c:pt idx="77">
                  <c:v>39000</c:v>
                </c:pt>
                <c:pt idx="78">
                  <c:v>39500</c:v>
                </c:pt>
                <c:pt idx="79">
                  <c:v>40000</c:v>
                </c:pt>
                <c:pt idx="80">
                  <c:v>40500</c:v>
                </c:pt>
                <c:pt idx="81">
                  <c:v>41000</c:v>
                </c:pt>
                <c:pt idx="82">
                  <c:v>41500</c:v>
                </c:pt>
                <c:pt idx="83">
                  <c:v>42000</c:v>
                </c:pt>
                <c:pt idx="84">
                  <c:v>42500</c:v>
                </c:pt>
                <c:pt idx="85">
                  <c:v>43000</c:v>
                </c:pt>
                <c:pt idx="86">
                  <c:v>43500</c:v>
                </c:pt>
                <c:pt idx="87">
                  <c:v>44000</c:v>
                </c:pt>
                <c:pt idx="88">
                  <c:v>44500</c:v>
                </c:pt>
                <c:pt idx="89">
                  <c:v>45000</c:v>
                </c:pt>
                <c:pt idx="90">
                  <c:v>45500</c:v>
                </c:pt>
                <c:pt idx="91">
                  <c:v>46000</c:v>
                </c:pt>
                <c:pt idx="92">
                  <c:v>46500</c:v>
                </c:pt>
                <c:pt idx="93">
                  <c:v>47000</c:v>
                </c:pt>
                <c:pt idx="94">
                  <c:v>47500</c:v>
                </c:pt>
                <c:pt idx="95">
                  <c:v>48000</c:v>
                </c:pt>
                <c:pt idx="96">
                  <c:v>48500</c:v>
                </c:pt>
                <c:pt idx="97">
                  <c:v>49000</c:v>
                </c:pt>
                <c:pt idx="98">
                  <c:v>49500</c:v>
                </c:pt>
                <c:pt idx="99">
                  <c:v>50000</c:v>
                </c:pt>
              </c:numCache>
            </c:numRef>
          </c:xVal>
          <c:yVal>
            <c:numRef>
              <c:f>'Voltage Loop'!$M$2:$M$101</c:f>
              <c:numCache>
                <c:formatCode>General</c:formatCode>
                <c:ptCount val="100"/>
                <c:pt idx="0">
                  <c:v>37.947928409481321</c:v>
                </c:pt>
                <c:pt idx="1">
                  <c:v>5.0202464760362622</c:v>
                </c:pt>
                <c:pt idx="2">
                  <c:v>1.2353415753874479</c:v>
                </c:pt>
                <c:pt idx="3">
                  <c:v>-1.1609610184485248</c:v>
                </c:pt>
                <c:pt idx="4">
                  <c:v>-2.8733815210761406</c:v>
                </c:pt>
                <c:pt idx="5">
                  <c:v>-4.188517377647921</c:v>
                </c:pt>
                <c:pt idx="6">
                  <c:v>-5.2514778005633742</c:v>
                </c:pt>
                <c:pt idx="7">
                  <c:v>-6.1445771736478623</c:v>
                </c:pt>
                <c:pt idx="8">
                  <c:v>-6.9176310713662303</c:v>
                </c:pt>
                <c:pt idx="9">
                  <c:v>-7.6021149127748178</c:v>
                </c:pt>
                <c:pt idx="10">
                  <c:v>-8.218614167404187</c:v>
                </c:pt>
                <c:pt idx="11">
                  <c:v>-8.7810296005165878</c:v>
                </c:pt>
                <c:pt idx="12">
                  <c:v>-9.2990543167862185</c:v>
                </c:pt>
                <c:pt idx="13">
                  <c:v>-9.7796749194934698</c:v>
                </c:pt>
                <c:pt idx="14">
                  <c:v>-10.228101229720091</c:v>
                </c:pt>
                <c:pt idx="15">
                  <c:v>-10.648353123409244</c:v>
                </c:pt>
                <c:pt idx="16">
                  <c:v>-11.043637795462768</c:v>
                </c:pt>
                <c:pt idx="17">
                  <c:v>-11.416596902255169</c:v>
                </c:pt>
                <c:pt idx="18">
                  <c:v>-11.769471716783189</c:v>
                </c:pt>
                <c:pt idx="19">
                  <c:v>-12.104215859441593</c:v>
                </c:pt>
                <c:pt idx="20">
                  <c:v>-12.422573983835237</c:v>
                </c:pt>
                <c:pt idx="21">
                  <c:v>-12.726137971045727</c:v>
                </c:pt>
                <c:pt idx="22">
                  <c:v>-13.016387965607787</c:v>
                </c:pt>
                <c:pt idx="23">
                  <c:v>-13.294722943073277</c:v>
                </c:pt>
                <c:pt idx="24">
                  <c:v>-13.562483820494741</c:v>
                </c:pt>
                <c:pt idx="25">
                  <c:v>-13.820971039784771</c:v>
                </c:pt>
                <c:pt idx="26">
                  <c:v>-14.071457847129565</c:v>
                </c:pt>
                <c:pt idx="27">
                  <c:v>-14.315200024033905</c:v>
                </c:pt>
                <c:pt idx="28">
                  <c:v>-14.553442514788038</c:v>
                </c:pt>
                <c:pt idx="29">
                  <c:v>-14.787423191475908</c:v>
                </c:pt>
                <c:pt idx="30">
                  <c:v>-15.01837387164702</c:v>
                </c:pt>
                <c:pt idx="31">
                  <c:v>-15.247518638516311</c:v>
                </c:pt>
                <c:pt idx="32">
                  <c:v>-15.476069499470233</c:v>
                </c:pt>
                <c:pt idx="33">
                  <c:v>-15.705219449959596</c:v>
                </c:pt>
                <c:pt idx="34">
                  <c:v>-15.93613308174527</c:v>
                </c:pt>
                <c:pt idx="35">
                  <c:v>-16.169934980972958</c:v>
                </c:pt>
                <c:pt idx="36">
                  <c:v>-16.407696293864763</c:v>
                </c:pt>
                <c:pt idx="37">
                  <c:v>-16.650419983306708</c:v>
                </c:pt>
                <c:pt idx="38">
                  <c:v>-16.899025441730771</c:v>
                </c:pt>
                <c:pt idx="39">
                  <c:v>-17.154333245003858</c:v>
                </c:pt>
                <c:pt idx="40">
                  <c:v>-17.417050908348337</c:v>
                </c:pt>
                <c:pt idx="41">
                  <c:v>-17.687760520779399</c:v>
                </c:pt>
                <c:pt idx="42">
                  <c:v>-17.966909077109626</c:v>
                </c:pt>
                <c:pt idx="43">
                  <c:v>-18.254802193087031</c:v>
                </c:pt>
                <c:pt idx="44">
                  <c:v>-18.551601687261151</c:v>
                </c:pt>
                <c:pt idx="45">
                  <c:v>-18.857327260811292</c:v>
                </c:pt>
                <c:pt idx="46">
                  <c:v>-19.171862230200137</c:v>
                </c:pt>
                <c:pt idx="47">
                  <c:v>-19.494962997549713</c:v>
                </c:pt>
                <c:pt idx="48">
                  <c:v>-19.826271709511293</c:v>
                </c:pt>
                <c:pt idx="49">
                  <c:v>-20.165331380657538</c:v>
                </c:pt>
                <c:pt idx="50">
                  <c:v>-20.511602656256393</c:v>
                </c:pt>
                <c:pt idx="51">
                  <c:v>-20.864481365028045</c:v>
                </c:pt>
                <c:pt idx="52">
                  <c:v>-21.223316058400442</c:v>
                </c:pt>
                <c:pt idx="53">
                  <c:v>-21.587424834418481</c:v>
                </c:pt>
                <c:pt idx="54">
                  <c:v>-21.956110883125277</c:v>
                </c:pt>
                <c:pt idx="55">
                  <c:v>-22.328676346381293</c:v>
                </c:pt>
                <c:pt idx="56">
                  <c:v>-22.704434241225844</c:v>
                </c:pt>
                <c:pt idx="57">
                  <c:v>-23.082718338403328</c:v>
                </c:pt>
                <c:pt idx="58">
                  <c:v>-23.462891007642273</c:v>
                </c:pt>
                <c:pt idx="59">
                  <c:v>-23.844349134284371</c:v>
                </c:pt>
                <c:pt idx="60">
                  <c:v>-24.226528277306912</c:v>
                </c:pt>
                <c:pt idx="61">
                  <c:v>-24.608905278837291</c:v>
                </c:pt>
                <c:pt idx="62">
                  <c:v>-24.990999553744938</c:v>
                </c:pt>
                <c:pt idx="63">
                  <c:v>-25.372373289429401</c:v>
                </c:pt>
                <c:pt idx="64">
                  <c:v>-25.752630775110052</c:v>
                </c:pt>
                <c:pt idx="65">
                  <c:v>-26.131417060990479</c:v>
                </c:pt>
                <c:pt idx="66">
                  <c:v>-26.508416124109367</c:v>
                </c:pt>
                <c:pt idx="67">
                  <c:v>-26.883348692276083</c:v>
                </c:pt>
                <c:pt idx="68">
                  <c:v>-27.2559698521958</c:v>
                </c:pt>
                <c:pt idx="69">
                  <c:v>-27.626066544085429</c:v>
                </c:pt>
                <c:pt idx="70">
                  <c:v>-27.993455023562476</c:v>
                </c:pt>
                <c:pt idx="71">
                  <c:v>-28.357978352765297</c:v>
                </c:pt>
                <c:pt idx="72">
                  <c:v>-28.719503966636818</c:v>
                </c:pt>
                <c:pt idx="73">
                  <c:v>-29.077921346983103</c:v>
                </c:pt>
                <c:pt idx="74">
                  <c:v>-29.433139826089779</c:v>
                </c:pt>
                <c:pt idx="75">
                  <c:v>-29.785086533065463</c:v>
                </c:pt>
                <c:pt idx="76">
                  <c:v>-30.133704489373194</c:v>
                </c:pt>
                <c:pt idx="77">
                  <c:v>-30.478950854914643</c:v>
                </c:pt>
                <c:pt idx="78">
                  <c:v>-30.820795322265511</c:v>
                </c:pt>
                <c:pt idx="79">
                  <c:v>-31.159218653968026</c:v>
                </c:pt>
                <c:pt idx="80">
                  <c:v>-31.494211355952366</c:v>
                </c:pt>
                <c:pt idx="81">
                  <c:v>-31.825772478997969</c:v>
                </c:pt>
                <c:pt idx="82">
                  <c:v>-32.153908539494452</c:v>
                </c:pt>
                <c:pt idx="83">
                  <c:v>-32.478632550507875</c:v>
                </c:pt>
                <c:pt idx="84">
                  <c:v>-32.799963154179466</c:v>
                </c:pt>
                <c:pt idx="85">
                  <c:v>-33.117923846718476</c:v>
                </c:pt>
                <c:pt idx="86">
                  <c:v>-33.432542287616968</c:v>
                </c:pt>
                <c:pt idx="87">
                  <c:v>-33.743849685181303</c:v>
                </c:pt>
                <c:pt idx="88">
                  <c:v>-34.051880250985597</c:v>
                </c:pt>
                <c:pt idx="89">
                  <c:v>-34.356670716393182</c:v>
                </c:pt>
                <c:pt idx="90">
                  <c:v>-34.658259904838403</c:v>
                </c:pt>
                <c:pt idx="91">
                  <c:v>-34.956688354094581</c:v>
                </c:pt>
                <c:pt idx="92">
                  <c:v>-35.251997983267927</c:v>
                </c:pt>
                <c:pt idx="93">
                  <c:v>-35.544231799748857</c:v>
                </c:pt>
                <c:pt idx="94">
                  <c:v>-35.833433641803303</c:v>
                </c:pt>
                <c:pt idx="95">
                  <c:v>-36.119647952918534</c:v>
                </c:pt>
                <c:pt idx="96">
                  <c:v>-36.402919584404366</c:v>
                </c:pt>
                <c:pt idx="97">
                  <c:v>-36.683293623111595</c:v>
                </c:pt>
                <c:pt idx="98">
                  <c:v>-36.9608152414553</c:v>
                </c:pt>
                <c:pt idx="99">
                  <c:v>-37.235529567228319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CA-4AAC-A088-CDBFBD7EE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6249264"/>
        <c:axId val="1"/>
      </c:scatterChart>
      <c:scatterChart>
        <c:scatterStyle val="lineMarker"/>
        <c:varyColors val="0"/>
        <c:ser>
          <c:idx val="2"/>
          <c:order val="1"/>
          <c:tx>
            <c:strRef>
              <c:f>'Voltage Loop'!$O$1</c:f>
              <c:strCache>
                <c:ptCount val="1"/>
                <c:pt idx="0">
                  <c:v>ӨTv(f)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'Voltage Loop'!$B$2:$B$101</c:f>
              <c:numCache>
                <c:formatCode>General</c:formatCode>
                <c:ptCount val="100"/>
                <c:pt idx="0">
                  <c:v>100</c:v>
                </c:pt>
                <c:pt idx="1">
                  <c:v>1000</c:v>
                </c:pt>
                <c:pt idx="2">
                  <c:v>1500</c:v>
                </c:pt>
                <c:pt idx="3">
                  <c:v>2000</c:v>
                </c:pt>
                <c:pt idx="4">
                  <c:v>2500</c:v>
                </c:pt>
                <c:pt idx="5">
                  <c:v>3000</c:v>
                </c:pt>
                <c:pt idx="6">
                  <c:v>3500.0000000000005</c:v>
                </c:pt>
                <c:pt idx="7">
                  <c:v>4000</c:v>
                </c:pt>
                <c:pt idx="8">
                  <c:v>4500</c:v>
                </c:pt>
                <c:pt idx="9">
                  <c:v>5000</c:v>
                </c:pt>
                <c:pt idx="10">
                  <c:v>5500</c:v>
                </c:pt>
                <c:pt idx="11">
                  <c:v>6000</c:v>
                </c:pt>
                <c:pt idx="12">
                  <c:v>6500</c:v>
                </c:pt>
                <c:pt idx="13">
                  <c:v>7000.0000000000009</c:v>
                </c:pt>
                <c:pt idx="14">
                  <c:v>7500</c:v>
                </c:pt>
                <c:pt idx="15">
                  <c:v>8000</c:v>
                </c:pt>
                <c:pt idx="16">
                  <c:v>8500</c:v>
                </c:pt>
                <c:pt idx="17">
                  <c:v>9000</c:v>
                </c:pt>
                <c:pt idx="18">
                  <c:v>9500</c:v>
                </c:pt>
                <c:pt idx="19">
                  <c:v>10000</c:v>
                </c:pt>
                <c:pt idx="20">
                  <c:v>10500</c:v>
                </c:pt>
                <c:pt idx="21">
                  <c:v>11000</c:v>
                </c:pt>
                <c:pt idx="22">
                  <c:v>11500</c:v>
                </c:pt>
                <c:pt idx="23">
                  <c:v>12000</c:v>
                </c:pt>
                <c:pt idx="24">
                  <c:v>12500</c:v>
                </c:pt>
                <c:pt idx="25">
                  <c:v>13000</c:v>
                </c:pt>
                <c:pt idx="26">
                  <c:v>13500</c:v>
                </c:pt>
                <c:pt idx="27">
                  <c:v>14000.000000000002</c:v>
                </c:pt>
                <c:pt idx="28">
                  <c:v>14499.999999999998</c:v>
                </c:pt>
                <c:pt idx="29">
                  <c:v>15000</c:v>
                </c:pt>
                <c:pt idx="30">
                  <c:v>15500</c:v>
                </c:pt>
                <c:pt idx="31">
                  <c:v>16000</c:v>
                </c:pt>
                <c:pt idx="32">
                  <c:v>16500</c:v>
                </c:pt>
                <c:pt idx="33">
                  <c:v>17000</c:v>
                </c:pt>
                <c:pt idx="34">
                  <c:v>17500</c:v>
                </c:pt>
                <c:pt idx="35">
                  <c:v>18000</c:v>
                </c:pt>
                <c:pt idx="36">
                  <c:v>18500</c:v>
                </c:pt>
                <c:pt idx="37">
                  <c:v>19000</c:v>
                </c:pt>
                <c:pt idx="38">
                  <c:v>19500</c:v>
                </c:pt>
                <c:pt idx="39">
                  <c:v>20000</c:v>
                </c:pt>
                <c:pt idx="40">
                  <c:v>20500</c:v>
                </c:pt>
                <c:pt idx="41">
                  <c:v>21000</c:v>
                </c:pt>
                <c:pt idx="42">
                  <c:v>21500</c:v>
                </c:pt>
                <c:pt idx="43">
                  <c:v>22000</c:v>
                </c:pt>
                <c:pt idx="44">
                  <c:v>22500</c:v>
                </c:pt>
                <c:pt idx="45">
                  <c:v>23000</c:v>
                </c:pt>
                <c:pt idx="46">
                  <c:v>23500</c:v>
                </c:pt>
                <c:pt idx="47">
                  <c:v>24000</c:v>
                </c:pt>
                <c:pt idx="48">
                  <c:v>24500</c:v>
                </c:pt>
                <c:pt idx="49">
                  <c:v>25000</c:v>
                </c:pt>
                <c:pt idx="50">
                  <c:v>25500</c:v>
                </c:pt>
                <c:pt idx="51">
                  <c:v>26000</c:v>
                </c:pt>
                <c:pt idx="52">
                  <c:v>26500</c:v>
                </c:pt>
                <c:pt idx="53">
                  <c:v>27000</c:v>
                </c:pt>
                <c:pt idx="54">
                  <c:v>27500.000000000004</c:v>
                </c:pt>
                <c:pt idx="55">
                  <c:v>28000.000000000004</c:v>
                </c:pt>
                <c:pt idx="56">
                  <c:v>28499.999999999996</c:v>
                </c:pt>
                <c:pt idx="57">
                  <c:v>28999.999999999996</c:v>
                </c:pt>
                <c:pt idx="58">
                  <c:v>29500</c:v>
                </c:pt>
                <c:pt idx="59">
                  <c:v>30000</c:v>
                </c:pt>
                <c:pt idx="60">
                  <c:v>30500</c:v>
                </c:pt>
                <c:pt idx="61">
                  <c:v>31000</c:v>
                </c:pt>
                <c:pt idx="62">
                  <c:v>31500</c:v>
                </c:pt>
                <c:pt idx="63">
                  <c:v>32000</c:v>
                </c:pt>
                <c:pt idx="64">
                  <c:v>32500</c:v>
                </c:pt>
                <c:pt idx="65">
                  <c:v>33000</c:v>
                </c:pt>
                <c:pt idx="66">
                  <c:v>33500</c:v>
                </c:pt>
                <c:pt idx="67">
                  <c:v>34000</c:v>
                </c:pt>
                <c:pt idx="68">
                  <c:v>34500</c:v>
                </c:pt>
                <c:pt idx="69">
                  <c:v>35000</c:v>
                </c:pt>
                <c:pt idx="70">
                  <c:v>35500</c:v>
                </c:pt>
                <c:pt idx="71">
                  <c:v>36000</c:v>
                </c:pt>
                <c:pt idx="72">
                  <c:v>36500</c:v>
                </c:pt>
                <c:pt idx="73">
                  <c:v>37000</c:v>
                </c:pt>
                <c:pt idx="74">
                  <c:v>37500</c:v>
                </c:pt>
                <c:pt idx="75">
                  <c:v>38000</c:v>
                </c:pt>
                <c:pt idx="76">
                  <c:v>38500</c:v>
                </c:pt>
                <c:pt idx="77">
                  <c:v>39000</c:v>
                </c:pt>
                <c:pt idx="78">
                  <c:v>39500</c:v>
                </c:pt>
                <c:pt idx="79">
                  <c:v>40000</c:v>
                </c:pt>
                <c:pt idx="80">
                  <c:v>40500</c:v>
                </c:pt>
                <c:pt idx="81">
                  <c:v>41000</c:v>
                </c:pt>
                <c:pt idx="82">
                  <c:v>41500</c:v>
                </c:pt>
                <c:pt idx="83">
                  <c:v>42000</c:v>
                </c:pt>
                <c:pt idx="84">
                  <c:v>42500</c:v>
                </c:pt>
                <c:pt idx="85">
                  <c:v>43000</c:v>
                </c:pt>
                <c:pt idx="86">
                  <c:v>43500</c:v>
                </c:pt>
                <c:pt idx="87">
                  <c:v>44000</c:v>
                </c:pt>
                <c:pt idx="88">
                  <c:v>44500</c:v>
                </c:pt>
                <c:pt idx="89">
                  <c:v>45000</c:v>
                </c:pt>
                <c:pt idx="90">
                  <c:v>45500</c:v>
                </c:pt>
                <c:pt idx="91">
                  <c:v>46000</c:v>
                </c:pt>
                <c:pt idx="92">
                  <c:v>46500</c:v>
                </c:pt>
                <c:pt idx="93">
                  <c:v>47000</c:v>
                </c:pt>
                <c:pt idx="94">
                  <c:v>47500</c:v>
                </c:pt>
                <c:pt idx="95">
                  <c:v>48000</c:v>
                </c:pt>
                <c:pt idx="96">
                  <c:v>48500</c:v>
                </c:pt>
                <c:pt idx="97">
                  <c:v>49000</c:v>
                </c:pt>
                <c:pt idx="98">
                  <c:v>49500</c:v>
                </c:pt>
                <c:pt idx="99">
                  <c:v>50000</c:v>
                </c:pt>
              </c:numCache>
            </c:numRef>
          </c:xVal>
          <c:yVal>
            <c:numRef>
              <c:f>'Voltage Loop'!$O$2:$O$101</c:f>
              <c:numCache>
                <c:formatCode>General</c:formatCode>
                <c:ptCount val="100"/>
                <c:pt idx="0">
                  <c:v>12.205360135066741</c:v>
                </c:pt>
                <c:pt idx="1">
                  <c:v>67.234120794830744</c:v>
                </c:pt>
                <c:pt idx="2">
                  <c:v>76.572419434463541</c:v>
                </c:pt>
                <c:pt idx="3">
                  <c:v>81.672253145529695</c:v>
                </c:pt>
                <c:pt idx="4">
                  <c:v>84.584672134948789</c:v>
                </c:pt>
                <c:pt idx="5">
                  <c:v>86.156148807851935</c:v>
                </c:pt>
                <c:pt idx="6">
                  <c:v>86.829084265392524</c:v>
                </c:pt>
                <c:pt idx="7">
                  <c:v>86.873779130022058</c:v>
                </c:pt>
                <c:pt idx="8">
                  <c:v>86.469976348511665</c:v>
                </c:pt>
                <c:pt idx="9">
                  <c:v>85.742029853240012</c:v>
                </c:pt>
                <c:pt idx="10">
                  <c:v>84.777383016600396</c:v>
                </c:pt>
                <c:pt idx="11">
                  <c:v>83.637837151513963</c:v>
                </c:pt>
                <c:pt idx="12">
                  <c:v>82.367047520066365</c:v>
                </c:pt>
                <c:pt idx="13">
                  <c:v>80.995723795910763</c:v>
                </c:pt>
                <c:pt idx="14">
                  <c:v>79.545303809517677</c:v>
                </c:pt>
                <c:pt idx="15">
                  <c:v>78.030568546794427</c:v>
                </c:pt>
                <c:pt idx="16">
                  <c:v>76.461510769640711</c:v>
                </c:pt>
                <c:pt idx="17">
                  <c:v>74.844674746250732</c:v>
                </c:pt>
                <c:pt idx="18">
                  <c:v>73.184120892564124</c:v>
                </c:pt>
                <c:pt idx="19">
                  <c:v>71.482124563372849</c:v>
                </c:pt>
                <c:pt idx="20">
                  <c:v>69.739686633987432</c:v>
                </c:pt>
                <c:pt idx="21">
                  <c:v>67.956911064664681</c:v>
                </c:pt>
                <c:pt idx="22">
                  <c:v>66.133288707345173</c:v>
                </c:pt>
                <c:pt idx="23">
                  <c:v>64.267915309454764</c:v>
                </c:pt>
                <c:pt idx="24">
                  <c:v>62.359663629770566</c:v>
                </c:pt>
                <c:pt idx="25">
                  <c:v>60.407323827569982</c:v>
                </c:pt>
                <c:pt idx="26">
                  <c:v>58.409722119820302</c:v>
                </c:pt>
                <c:pt idx="27">
                  <c:v>56.365824627190307</c:v>
                </c:pt>
                <c:pt idx="28">
                  <c:v>54.274831000823212</c:v>
                </c:pt>
                <c:pt idx="29">
                  <c:v>52.136260598167127</c:v>
                </c:pt>
                <c:pt idx="30">
                  <c:v>49.950032497648891</c:v>
                </c:pt>
                <c:pt idx="31">
                  <c:v>47.716539409477264</c:v>
                </c:pt>
                <c:pt idx="32">
                  <c:v>45.436714502573238</c:v>
                </c:pt>
                <c:pt idx="33">
                  <c:v>43.112089313684351</c:v>
                </c:pt>
                <c:pt idx="34">
                  <c:v>40.744840252937962</c:v>
                </c:pt>
                <c:pt idx="35">
                  <c:v>38.337820810988603</c:v>
                </c:pt>
                <c:pt idx="36">
                  <c:v>35.894576457645059</c:v>
                </c:pt>
                <c:pt idx="37">
                  <c:v>33.419339448464484</c:v>
                </c:pt>
                <c:pt idx="38">
                  <c:v>30.917001353698168</c:v>
                </c:pt>
                <c:pt idx="39">
                  <c:v>28.393062088543502</c:v>
                </c:pt>
                <c:pt idx="40">
                  <c:v>25.853555504183362</c:v>
                </c:pt>
                <c:pt idx="41">
                  <c:v>23.304953093767892</c:v>
                </c:pt>
                <c:pt idx="42">
                  <c:v>20.754048928530608</c:v>
                </c:pt>
                <c:pt idx="43">
                  <c:v>18.207830389143055</c:v>
                </c:pt>
                <c:pt idx="44">
                  <c:v>15.67334041501627</c:v>
                </c:pt>
                <c:pt idx="45">
                  <c:v>13.157537705154397</c:v>
                </c:pt>
                <c:pt idx="46">
                  <c:v>10.667161469316795</c:v>
                </c:pt>
                <c:pt idx="47">
                  <c:v>8.208606922930187</c:v>
                </c:pt>
                <c:pt idx="48">
                  <c:v>5.787816797892674</c:v>
                </c:pt>
                <c:pt idx="49">
                  <c:v>3.4101928267199924</c:v>
                </c:pt>
                <c:pt idx="50">
                  <c:v>1.0805296165260927</c:v>
                </c:pt>
                <c:pt idx="51">
                  <c:v>-1.1970282567109507</c:v>
                </c:pt>
                <c:pt idx="52">
                  <c:v>-3.4190065685700688</c:v>
                </c:pt>
                <c:pt idx="53">
                  <c:v>-5.5826010337621028</c:v>
                </c:pt>
                <c:pt idx="54">
                  <c:v>-7.685658906120409</c:v>
                </c:pt>
                <c:pt idx="55">
                  <c:v>-9.7266458795231188</c:v>
                </c:pt>
                <c:pt idx="56">
                  <c:v>-11.704601791474772</c:v>
                </c:pt>
                <c:pt idx="57">
                  <c:v>-13.619088565272932</c:v>
                </c:pt>
                <c:pt idx="58">
                  <c:v>-15.470133550072319</c:v>
                </c:pt>
                <c:pt idx="59">
                  <c:v>-17.258171003087455</c:v>
                </c:pt>
                <c:pt idx="60">
                  <c:v>-18.983983971391922</c:v>
                </c:pt>
                <c:pt idx="61">
                  <c:v>-20.64864832738732</c:v>
                </c:pt>
                <c:pt idx="62">
                  <c:v>-22.253480232873471</c:v>
                </c:pt>
                <c:pt idx="63">
                  <c:v>-23.799987878545949</c:v>
                </c:pt>
                <c:pt idx="64">
                  <c:v>-25.289827983065379</c:v>
                </c:pt>
                <c:pt idx="65">
                  <c:v>-26.72476724333751</c:v>
                </c:pt>
                <c:pt idx="66">
                  <c:v>-28.106648703116946</c:v>
                </c:pt>
                <c:pt idx="67">
                  <c:v>-29.437362843960841</c:v>
                </c:pt>
                <c:pt idx="68">
                  <c:v>-30.718823092080925</c:v>
                </c:pt>
                <c:pt idx="69">
                  <c:v>-31.952945367182849</c:v>
                </c:pt>
                <c:pt idx="70">
                  <c:v>-33.141631265604474</c:v>
                </c:pt>
                <c:pt idx="71">
                  <c:v>-34.286754461614805</c:v>
                </c:pt>
                <c:pt idx="72">
                  <c:v>-35.390149920355839</c:v>
                </c:pt>
                <c:pt idx="73">
                  <c:v>-36.453605537747308</c:v>
                </c:pt>
                <c:pt idx="74">
                  <c:v>-37.478855852066204</c:v>
                </c:pt>
                <c:pt idx="75">
                  <c:v>-38.467577505298607</c:v>
                </c:pt>
                <c:pt idx="76">
                  <c:v>-39.421386167182959</c:v>
                </c:pt>
                <c:pt idx="77">
                  <c:v>-40.341834669276409</c:v>
                </c:pt>
                <c:pt idx="78">
                  <c:v>-41.230412129167576</c:v>
                </c:pt>
                <c:pt idx="79">
                  <c:v>-42.088543875408618</c:v>
                </c:pt>
                <c:pt idx="80">
                  <c:v>-42.917592011411102</c:v>
                </c:pt>
                <c:pt idx="81">
                  <c:v>-43.718856481320415</c:v>
                </c:pt>
                <c:pt idx="82">
                  <c:v>-44.493576522751709</c:v>
                </c:pt>
                <c:pt idx="83">
                  <c:v>-45.242932410366166</c:v>
                </c:pt>
                <c:pt idx="84">
                  <c:v>-45.9680474107912</c:v>
                </c:pt>
                <c:pt idx="85">
                  <c:v>-46.669989883571418</c:v>
                </c:pt>
                <c:pt idx="86">
                  <c:v>-47.349775474908256</c:v>
                </c:pt>
                <c:pt idx="87">
                  <c:v>-48.008369361186624</c:v>
                </c:pt>
                <c:pt idx="88">
                  <c:v>-48.646688507878935</c:v>
                </c:pt>
                <c:pt idx="89">
                  <c:v>-49.265603916628152</c:v>
                </c:pt>
                <c:pt idx="90">
                  <c:v>-49.865942839286333</c:v>
                </c:pt>
                <c:pt idx="91">
                  <c:v>-50.448490942665615</c:v>
                </c:pt>
                <c:pt idx="92">
                  <c:v>-51.013994411817919</c:v>
                </c:pt>
                <c:pt idx="93">
                  <c:v>-51.563161983012606</c:v>
                </c:pt>
                <c:pt idx="94">
                  <c:v>-52.096666900292576</c:v>
                </c:pt>
                <c:pt idx="95">
                  <c:v>-52.615148791684135</c:v>
                </c:pt>
                <c:pt idx="96">
                  <c:v>-53.119215462895681</c:v>
                </c:pt>
                <c:pt idx="97">
                  <c:v>-53.609444607734531</c:v>
                </c:pt>
                <c:pt idx="98">
                  <c:v>-54.08638543556782</c:v>
                </c:pt>
                <c:pt idx="99">
                  <c:v>-54.550560217013128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DCA-4AAC-A088-CDBFBD7EE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556249264"/>
        <c:scaling>
          <c:logBase val="10"/>
          <c:orientation val="minMax"/>
          <c:min val="1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Frequency in Hz</a:t>
                </a:r>
              </a:p>
            </c:rich>
          </c:tx>
          <c:layout>
            <c:manualLayout>
              <c:xMode val="edge"/>
              <c:yMode val="edge"/>
              <c:x val="0.41680429979201528"/>
              <c:y val="0.931122448979591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-80"/>
        <c:crossBetween val="midCat"/>
      </c:valAx>
      <c:valAx>
        <c:axId val="1"/>
        <c:scaling>
          <c:orientation val="minMax"/>
          <c:max val="80"/>
          <c:min val="-8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Gain in dB</a:t>
                </a:r>
              </a:p>
            </c:rich>
          </c:tx>
          <c:layout>
            <c:manualLayout>
              <c:xMode val="edge"/>
              <c:yMode val="edge"/>
              <c:x val="1.9769357495881382E-2"/>
              <c:y val="0.397959183673469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6249264"/>
        <c:crosses val="autoZero"/>
        <c:crossBetween val="midCat"/>
      </c:valAx>
      <c:valAx>
        <c:axId val="3"/>
        <c:scaling>
          <c:logBase val="10"/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180"/>
          <c:min val="-18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midCat"/>
        <c:majorUnit val="4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191121085152658"/>
          <c:y val="0.70408163265306123"/>
          <c:w val="0.28500858315280603"/>
          <c:h val="0.8290816326530612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66675</xdr:rowOff>
    </xdr:from>
    <xdr:to>
      <xdr:col>12</xdr:col>
      <xdr:colOff>257175</xdr:colOff>
      <xdr:row>35</xdr:row>
      <xdr:rowOff>76200</xdr:rowOff>
    </xdr:to>
    <xdr:pic>
      <xdr:nvPicPr>
        <xdr:cNvPr id="41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66675"/>
          <a:ext cx="7400925" cy="5676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151</xdr:row>
      <xdr:rowOff>38100</xdr:rowOff>
    </xdr:from>
    <xdr:to>
      <xdr:col>3</xdr:col>
      <xdr:colOff>695325</xdr:colOff>
      <xdr:row>171</xdr:row>
      <xdr:rowOff>161925</xdr:rowOff>
    </xdr:to>
    <xdr:graphicFrame macro="">
      <xdr:nvGraphicFramePr>
        <xdr:cNvPr id="107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8</xdr:col>
      <xdr:colOff>523875</xdr:colOff>
      <xdr:row>4</xdr:row>
      <xdr:rowOff>85725</xdr:rowOff>
    </xdr:to>
    <xdr:pic>
      <xdr:nvPicPr>
        <xdr:cNvPr id="51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5400675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</xdr:row>
          <xdr:rowOff>57150</xdr:rowOff>
        </xdr:from>
        <xdr:to>
          <xdr:col>8</xdr:col>
          <xdr:colOff>533400</xdr:colOff>
          <xdr:row>46</xdr:row>
          <xdr:rowOff>57150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352425</xdr:colOff>
      <xdr:row>34</xdr:row>
      <xdr:rowOff>123825</xdr:rowOff>
    </xdr:to>
    <xdr:pic>
      <xdr:nvPicPr>
        <xdr:cNvPr id="618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19625" cy="5629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390525</xdr:colOff>
      <xdr:row>34</xdr:row>
      <xdr:rowOff>133350</xdr:rowOff>
    </xdr:to>
    <xdr:pic>
      <xdr:nvPicPr>
        <xdr:cNvPr id="720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57725" cy="5638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85</xdr:row>
      <xdr:rowOff>114300</xdr:rowOff>
    </xdr:from>
    <xdr:to>
      <xdr:col>7</xdr:col>
      <xdr:colOff>57150</xdr:colOff>
      <xdr:row>105</xdr:row>
      <xdr:rowOff>152400</xdr:rowOff>
    </xdr:to>
    <xdr:graphicFrame macro="">
      <xdr:nvGraphicFramePr>
        <xdr:cNvPr id="310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0799388/My%20Documents/Applications%20Information/UCC28070/Design%20Tool/UCC28070%20Design%20Tool%208%2015%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ign Information"/>
      <sheetName val="Current Loop Calaculations"/>
      <sheetName val="Voltage Loop Calaclations"/>
    </sheetNames>
    <sheetDataSet>
      <sheetData sheetId="0">
        <row r="29">
          <cell r="C29">
            <v>2.4499999999999999E-4</v>
          </cell>
        </row>
        <row r="40">
          <cell r="C40">
            <v>50</v>
          </cell>
        </row>
        <row r="83">
          <cell r="C83">
            <v>4020</v>
          </cell>
        </row>
        <row r="85">
          <cell r="C85">
            <v>2.1999999999999998E-9</v>
          </cell>
        </row>
        <row r="87">
          <cell r="C87">
            <v>3.3E-10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R7" sqref="R7"/>
    </sheetView>
  </sheetViews>
  <sheetFormatPr defaultRowHeight="12.75" x14ac:dyDescent="0.2"/>
  <sheetData>
    <row r="1" spans="1:14" ht="33.75" x14ac:dyDescent="0.2">
      <c r="A1" s="109" t="s">
        <v>339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</row>
    <row r="2" spans="1:14" ht="25.5" x14ac:dyDescent="0.2">
      <c r="A2" s="110" t="s">
        <v>0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</row>
    <row r="3" spans="1:14" x14ac:dyDescent="0.2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4" ht="25.5" x14ac:dyDescent="0.2">
      <c r="A4" s="112" t="s">
        <v>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4" x14ac:dyDescent="0.2">
      <c r="A5" s="111"/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ht="25.5" x14ac:dyDescent="0.2">
      <c r="A6" s="1" t="s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5.5" x14ac:dyDescent="0.2">
      <c r="A7" s="1"/>
      <c r="B7" s="112" t="s">
        <v>3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ht="25.5" x14ac:dyDescent="0.2">
      <c r="A8" s="1"/>
      <c r="B8" s="112" t="s">
        <v>4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ht="25.5" x14ac:dyDescent="0.2">
      <c r="A9" s="1"/>
      <c r="B9" s="112" t="s">
        <v>5</v>
      </c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 ht="25.5" x14ac:dyDescent="0.2">
      <c r="A10" s="1" t="s">
        <v>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 ht="25.5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25.5" x14ac:dyDescent="0.2">
      <c r="A12" s="113" t="s">
        <v>296</v>
      </c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</row>
    <row r="13" spans="1:14" ht="25.5" x14ac:dyDescent="0.2">
      <c r="A13" s="85"/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</row>
    <row r="14" spans="1:14" ht="25.5" x14ac:dyDescent="0.2">
      <c r="A14" s="113" t="s">
        <v>7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</row>
    <row r="15" spans="1:14" ht="25.5" x14ac:dyDescent="0.2">
      <c r="A15" s="85"/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</row>
    <row r="16" spans="1:14" ht="45.75" customHeight="1" x14ac:dyDescent="0.2">
      <c r="A16" s="113" t="s">
        <v>330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" x14ac:dyDescent="0.2">
      <c r="A17" t="s">
        <v>19</v>
      </c>
    </row>
  </sheetData>
  <mergeCells count="11">
    <mergeCell ref="A14:N14"/>
    <mergeCell ref="A16:N16"/>
    <mergeCell ref="A5:N5"/>
    <mergeCell ref="B7:N7"/>
    <mergeCell ref="B8:N8"/>
    <mergeCell ref="B9:N9"/>
    <mergeCell ref="A1:N1"/>
    <mergeCell ref="A2:N2"/>
    <mergeCell ref="A3:N3"/>
    <mergeCell ref="A4:N4"/>
    <mergeCell ref="A12:N12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3"/>
  <sheetViews>
    <sheetView topLeftCell="A14" workbookViewId="0">
      <selection activeCell="F39" sqref="F39"/>
    </sheetView>
  </sheetViews>
  <sheetFormatPr defaultRowHeight="12.75" x14ac:dyDescent="0.2"/>
  <sheetData>
    <row r="43" spans="4:4" x14ac:dyDescent="0.2">
      <c r="D43" t="s">
        <v>19</v>
      </c>
    </row>
  </sheetData>
  <sheetProtection password="ECDD" sheet="1" objects="1" scenarios="1"/>
  <phoneticPr fontId="21" type="noConversion"/>
  <pageMargins left="0.75" right="0.75" top="1" bottom="1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2"/>
  <sheetViews>
    <sheetView topLeftCell="A22" zoomScaleNormal="100" workbookViewId="0">
      <selection activeCell="C179" sqref="C179"/>
    </sheetView>
  </sheetViews>
  <sheetFormatPr defaultRowHeight="15.75" x14ac:dyDescent="0.25"/>
  <cols>
    <col min="1" max="1" width="66.140625" style="55" customWidth="1"/>
    <col min="2" max="2" width="15" style="55" customWidth="1"/>
    <col min="3" max="3" width="13.42578125" style="61" customWidth="1"/>
    <col min="4" max="5" width="11.5703125" style="55" customWidth="1"/>
    <col min="6" max="16384" width="9.140625" style="55"/>
  </cols>
  <sheetData>
    <row r="1" spans="1:8" x14ac:dyDescent="0.25">
      <c r="A1" s="55" t="s">
        <v>337</v>
      </c>
    </row>
    <row r="2" spans="1:8" x14ac:dyDescent="0.25">
      <c r="A2" s="55" t="s">
        <v>338</v>
      </c>
      <c r="B2" s="56">
        <v>43308</v>
      </c>
      <c r="H2" s="106"/>
    </row>
    <row r="3" spans="1:8" x14ac:dyDescent="0.25">
      <c r="B3" s="56"/>
      <c r="H3" s="106"/>
    </row>
    <row r="4" spans="1:8" x14ac:dyDescent="0.25">
      <c r="A4" s="81" t="s">
        <v>328</v>
      </c>
      <c r="B4" s="82"/>
      <c r="C4" s="94"/>
      <c r="D4" s="81"/>
      <c r="E4" s="81"/>
      <c r="F4" s="81"/>
    </row>
    <row r="5" spans="1:8" x14ac:dyDescent="0.25">
      <c r="A5" s="81" t="s">
        <v>289</v>
      </c>
      <c r="B5" s="82"/>
      <c r="C5" s="94"/>
      <c r="D5" s="81"/>
      <c r="E5" s="81"/>
      <c r="F5" s="81"/>
    </row>
    <row r="6" spans="1:8" x14ac:dyDescent="0.25">
      <c r="A6" s="86" t="s">
        <v>331</v>
      </c>
      <c r="B6" s="87"/>
      <c r="C6" s="95"/>
      <c r="D6" s="86"/>
      <c r="E6" s="86"/>
      <c r="F6" s="86"/>
    </row>
    <row r="7" spans="1:8" x14ac:dyDescent="0.25">
      <c r="A7" s="88" t="s">
        <v>302</v>
      </c>
      <c r="B7" s="89"/>
      <c r="C7" s="96"/>
      <c r="D7" s="88"/>
      <c r="E7" s="88"/>
      <c r="F7" s="88"/>
    </row>
    <row r="8" spans="1:8" s="51" customFormat="1" x14ac:dyDescent="0.25">
      <c r="A8" s="88" t="s">
        <v>301</v>
      </c>
      <c r="B8" s="89"/>
      <c r="C8" s="96"/>
      <c r="D8" s="88"/>
      <c r="E8" s="88"/>
      <c r="F8" s="88"/>
    </row>
    <row r="9" spans="1:8" s="51" customFormat="1" x14ac:dyDescent="0.25">
      <c r="A9" s="88" t="s">
        <v>299</v>
      </c>
      <c r="B9" s="89"/>
      <c r="C9" s="96"/>
      <c r="D9" s="88"/>
      <c r="E9" s="88"/>
      <c r="F9" s="88"/>
    </row>
    <row r="10" spans="1:8" s="51" customFormat="1" x14ac:dyDescent="0.25">
      <c r="A10" s="88" t="s">
        <v>300</v>
      </c>
      <c r="B10" s="89"/>
      <c r="C10" s="96"/>
      <c r="D10" s="88"/>
      <c r="E10" s="88"/>
      <c r="F10" s="88"/>
    </row>
    <row r="11" spans="1:8" x14ac:dyDescent="0.25">
      <c r="A11" s="55" t="s">
        <v>8</v>
      </c>
    </row>
    <row r="12" spans="1:8" x14ac:dyDescent="0.25">
      <c r="A12" s="55" t="s">
        <v>9</v>
      </c>
      <c r="B12" s="55" t="s">
        <v>10</v>
      </c>
      <c r="C12" s="61" t="s">
        <v>12</v>
      </c>
      <c r="D12" s="55" t="s">
        <v>11</v>
      </c>
      <c r="E12" s="55" t="s">
        <v>16</v>
      </c>
    </row>
    <row r="13" spans="1:8" x14ac:dyDescent="0.25">
      <c r="A13" s="55" t="s">
        <v>13</v>
      </c>
      <c r="B13" s="52">
        <v>210</v>
      </c>
      <c r="C13" s="97">
        <v>355</v>
      </c>
      <c r="D13" s="52">
        <v>410</v>
      </c>
      <c r="E13" s="55" t="s">
        <v>17</v>
      </c>
      <c r="F13" s="90" t="str">
        <f>IF(VINMAX/VINMIN&gt;3,"Please Keep Input Voltage &lt; 3:1","")</f>
        <v/>
      </c>
    </row>
    <row r="14" spans="1:8" x14ac:dyDescent="0.25">
      <c r="A14" s="55" t="s">
        <v>14</v>
      </c>
      <c r="B14" s="52">
        <v>40</v>
      </c>
      <c r="C14" s="97">
        <v>48</v>
      </c>
      <c r="D14" s="52">
        <v>55</v>
      </c>
      <c r="E14" s="55" t="s">
        <v>17</v>
      </c>
      <c r="F14" s="84" t="str">
        <f>IF(VOUT&lt;1.5,"The Minimum Output Voltage &gt; 1.5 V","")</f>
        <v/>
      </c>
      <c r="G14" s="51"/>
      <c r="H14" s="51"/>
    </row>
    <row r="15" spans="1:8" ht="31.5" x14ac:dyDescent="0.25">
      <c r="A15" s="57" t="s">
        <v>15</v>
      </c>
      <c r="D15" s="52">
        <v>0.6</v>
      </c>
      <c r="E15" s="55" t="s">
        <v>17</v>
      </c>
      <c r="F15" s="84"/>
    </row>
    <row r="16" spans="1:8" ht="18.75" x14ac:dyDescent="0.35">
      <c r="A16" s="57" t="s">
        <v>21</v>
      </c>
      <c r="D16" s="52">
        <v>1000</v>
      </c>
      <c r="E16" s="55" t="s">
        <v>18</v>
      </c>
    </row>
    <row r="17" spans="1:6" x14ac:dyDescent="0.25">
      <c r="A17" s="55" t="s">
        <v>23</v>
      </c>
      <c r="B17" s="53">
        <v>0.95</v>
      </c>
      <c r="D17" s="55" t="s">
        <v>19</v>
      </c>
      <c r="F17" s="84" t="str">
        <f>IF(Eff&gt;96%,"Please be Realistic with Efficiency Goal","")</f>
        <v/>
      </c>
    </row>
    <row r="18" spans="1:6" ht="18.75" x14ac:dyDescent="0.35">
      <c r="A18" s="55" t="s">
        <v>22</v>
      </c>
      <c r="C18" s="97">
        <v>100</v>
      </c>
      <c r="E18" s="55" t="s">
        <v>20</v>
      </c>
      <c r="F18" s="83" t="str">
        <f>IF(fs&gt;1000,"UCC28950 Can Only Achieve 1MHz Switching Frequency","")</f>
        <v/>
      </c>
    </row>
    <row r="19" spans="1:6" x14ac:dyDescent="0.25">
      <c r="A19" s="58"/>
      <c r="B19" s="58"/>
      <c r="C19" s="98"/>
      <c r="D19" s="58"/>
      <c r="E19" s="58"/>
      <c r="F19" s="58"/>
    </row>
    <row r="20" spans="1:6" x14ac:dyDescent="0.25">
      <c r="A20" s="80" t="s">
        <v>174</v>
      </c>
      <c r="B20" s="80"/>
      <c r="C20" s="99"/>
      <c r="D20" s="80"/>
      <c r="E20" s="80"/>
      <c r="F20" s="80"/>
    </row>
    <row r="21" spans="1:6" x14ac:dyDescent="0.25">
      <c r="A21" s="55" t="s">
        <v>9</v>
      </c>
      <c r="B21" s="55" t="s">
        <v>27</v>
      </c>
      <c r="D21" s="55" t="s">
        <v>16</v>
      </c>
    </row>
    <row r="22" spans="1:6" ht="18.75" x14ac:dyDescent="0.35">
      <c r="A22" s="55" t="s">
        <v>113</v>
      </c>
      <c r="B22" s="60" t="s">
        <v>24</v>
      </c>
      <c r="C22" s="61">
        <f>pout*(1-Eff)/Eff</f>
        <v>52.631578947368467</v>
      </c>
      <c r="D22" s="55" t="s">
        <v>18</v>
      </c>
    </row>
    <row r="23" spans="1:6" ht="18.75" x14ac:dyDescent="0.35">
      <c r="A23" s="55" t="s">
        <v>114</v>
      </c>
      <c r="B23" s="55" t="s">
        <v>25</v>
      </c>
      <c r="C23" s="61">
        <v>0.3</v>
      </c>
      <c r="D23" s="55" t="s">
        <v>17</v>
      </c>
    </row>
    <row r="24" spans="1:6" ht="18.75" x14ac:dyDescent="0.35">
      <c r="A24" s="55" t="s">
        <v>29</v>
      </c>
      <c r="B24" s="55" t="s">
        <v>31</v>
      </c>
      <c r="C24" s="61">
        <v>0.66</v>
      </c>
    </row>
    <row r="25" spans="1:6" ht="18.75" x14ac:dyDescent="0.35">
      <c r="A25" s="55" t="s">
        <v>28</v>
      </c>
      <c r="B25" s="55" t="s">
        <v>26</v>
      </c>
      <c r="C25" s="61">
        <f>((VINMIN-2*vrdson)*dmax)/(VOUT+vrdson)</f>
        <v>2.8613664596273294</v>
      </c>
      <c r="D25" s="55" t="s">
        <v>19</v>
      </c>
      <c r="E25" s="55" t="s">
        <v>19</v>
      </c>
    </row>
    <row r="26" spans="1:6" x14ac:dyDescent="0.25">
      <c r="A26" s="55" t="s">
        <v>303</v>
      </c>
      <c r="B26" s="55" t="s">
        <v>26</v>
      </c>
      <c r="C26" s="108">
        <v>3</v>
      </c>
    </row>
    <row r="27" spans="1:6" s="61" customFormat="1" ht="18.75" x14ac:dyDescent="0.35">
      <c r="A27" s="61" t="s">
        <v>30</v>
      </c>
      <c r="B27" s="61" t="s">
        <v>32</v>
      </c>
      <c r="C27" s="61">
        <f>((VOUT+vrdson)*_taa1)/((vin-2*vrdson))</f>
        <v>0.4088600451467268</v>
      </c>
      <c r="D27" s="91" t="str">
        <f>IF(dtyp&gt;1,"Turns Ratio a1 in Error, Pleast Adjust","")</f>
        <v/>
      </c>
    </row>
    <row r="28" spans="1:6" ht="18.75" x14ac:dyDescent="0.35">
      <c r="A28" s="55" t="s">
        <v>33</v>
      </c>
      <c r="B28" s="72" t="s">
        <v>243</v>
      </c>
      <c r="C28" s="61">
        <f>pout*0.2/VOUT</f>
        <v>4.166666666666667</v>
      </c>
      <c r="D28" s="55" t="s">
        <v>34</v>
      </c>
    </row>
    <row r="29" spans="1:6" ht="18.75" x14ac:dyDescent="0.35">
      <c r="A29" s="55" t="s">
        <v>262</v>
      </c>
      <c r="B29" s="55" t="s">
        <v>35</v>
      </c>
      <c r="C29" s="61">
        <f>(vin*(1-dtyp)*_taa1)/(dilout*0.5*fs)</f>
        <v>3.021907449209932</v>
      </c>
      <c r="D29" s="55" t="s">
        <v>36</v>
      </c>
      <c r="E29" s="107"/>
    </row>
    <row r="30" spans="1:6" ht="18.75" x14ac:dyDescent="0.35">
      <c r="A30" s="55" t="s">
        <v>290</v>
      </c>
      <c r="B30" s="55" t="s">
        <v>37</v>
      </c>
      <c r="C30" s="61">
        <f>(pout/VOUT)+(dilout/2)</f>
        <v>22.916666666666664</v>
      </c>
      <c r="D30" s="55" t="s">
        <v>34</v>
      </c>
      <c r="E30" s="55" t="s">
        <v>19</v>
      </c>
    </row>
    <row r="31" spans="1:6" ht="18.75" x14ac:dyDescent="0.35">
      <c r="A31" s="55" t="s">
        <v>290</v>
      </c>
      <c r="B31" s="55" t="s">
        <v>38</v>
      </c>
      <c r="C31" s="61">
        <f>(pout/VOUT)-(dilout/2)</f>
        <v>18.75</v>
      </c>
      <c r="D31" s="55" t="s">
        <v>34</v>
      </c>
      <c r="E31" s="67"/>
    </row>
    <row r="32" spans="1:6" ht="18.75" x14ac:dyDescent="0.35">
      <c r="A32" s="55" t="s">
        <v>290</v>
      </c>
      <c r="B32" s="55" t="s">
        <v>40</v>
      </c>
      <c r="C32" s="61">
        <f>ips-(dilout/2)</f>
        <v>20.833333333333332</v>
      </c>
      <c r="D32" s="55" t="s">
        <v>34</v>
      </c>
      <c r="E32" s="61" t="s">
        <v>19</v>
      </c>
    </row>
    <row r="33" spans="1:5" ht="18.75" x14ac:dyDescent="0.35">
      <c r="A33" s="55" t="s">
        <v>244</v>
      </c>
      <c r="B33" s="55" t="s">
        <v>39</v>
      </c>
      <c r="C33" s="61">
        <f>((dmax/2)*(ips*ims+(((ips-ims)^2)/3)))^0.5</f>
        <v>11.987768650679834</v>
      </c>
      <c r="D33" s="55" t="s">
        <v>34</v>
      </c>
      <c r="E33" s="60" t="s">
        <v>19</v>
      </c>
    </row>
    <row r="34" spans="1:5" ht="18.75" x14ac:dyDescent="0.35">
      <c r="A34" s="55" t="s">
        <v>244</v>
      </c>
      <c r="B34" s="55" t="s">
        <v>41</v>
      </c>
      <c r="C34" s="61">
        <f>(((1-dmax)/2)*(ips*_ims2+(((ips-_ims2)^2)/3)))^0.5</f>
        <v>9.0227015643053647</v>
      </c>
      <c r="D34" s="55" t="s">
        <v>34</v>
      </c>
      <c r="E34" s="55" t="s">
        <v>19</v>
      </c>
    </row>
    <row r="35" spans="1:5" ht="18.75" x14ac:dyDescent="0.35">
      <c r="A35" s="55" t="s">
        <v>244</v>
      </c>
      <c r="B35" s="55" t="s">
        <v>42</v>
      </c>
      <c r="C35" s="61">
        <f>(dilout/2)*((1-dmax)/6)^0.5</f>
        <v>0.49593252975992014</v>
      </c>
      <c r="D35" s="55" t="s">
        <v>34</v>
      </c>
      <c r="E35" s="55" t="s">
        <v>19</v>
      </c>
    </row>
    <row r="36" spans="1:5" ht="18.75" x14ac:dyDescent="0.35">
      <c r="A36" s="55" t="s">
        <v>263</v>
      </c>
      <c r="B36" s="55" t="s">
        <v>43</v>
      </c>
      <c r="C36" s="61">
        <f>(isrms1^2+isrms2^2+isrms3^2)^0.5</f>
        <v>15.012051485883426</v>
      </c>
      <c r="D36" s="55" t="s">
        <v>34</v>
      </c>
    </row>
    <row r="37" spans="1:5" ht="18.75" x14ac:dyDescent="0.35">
      <c r="A37" s="55" t="s">
        <v>291</v>
      </c>
      <c r="B37" s="72" t="s">
        <v>329</v>
      </c>
      <c r="C37" s="61">
        <f>(VINMIN*dmax)/(lmag*fs)</f>
        <v>0.45865071094826715</v>
      </c>
      <c r="D37" s="55" t="s">
        <v>34</v>
      </c>
    </row>
    <row r="38" spans="1:5" ht="18.75" x14ac:dyDescent="0.35">
      <c r="A38" s="55" t="s">
        <v>290</v>
      </c>
      <c r="B38" s="55" t="s">
        <v>45</v>
      </c>
      <c r="C38" s="61">
        <f>(((pout/(VOUT*Eff))+dilout/2)/_taa1)+dilmag</f>
        <v>8.4630366758605486</v>
      </c>
      <c r="D38" s="55" t="s">
        <v>34</v>
      </c>
    </row>
    <row r="39" spans="1:5" ht="18.75" x14ac:dyDescent="0.35">
      <c r="A39" s="55" t="s">
        <v>290</v>
      </c>
      <c r="B39" s="55" t="s">
        <v>46</v>
      </c>
      <c r="C39" s="61">
        <f>(((pout/(VOUT*Eff))-dilout/2)/_taa1)+dilmag</f>
        <v>7.0741477869716594</v>
      </c>
      <c r="D39" s="55" t="s">
        <v>34</v>
      </c>
    </row>
    <row r="40" spans="1:5" ht="18.75" x14ac:dyDescent="0.35">
      <c r="A40" s="55" t="s">
        <v>290</v>
      </c>
      <c r="B40" s="55" t="s">
        <v>47</v>
      </c>
      <c r="C40" s="61">
        <f>ipp-((dilout/2)/_ta1)</f>
        <v>7.7349463166813646</v>
      </c>
      <c r="D40" s="55" t="s">
        <v>34</v>
      </c>
    </row>
    <row r="41" spans="1:5" ht="18.75" x14ac:dyDescent="0.35">
      <c r="A41" s="55" t="s">
        <v>244</v>
      </c>
      <c r="B41" s="55" t="s">
        <v>48</v>
      </c>
      <c r="C41" s="61">
        <f>((dmax)*(ipp*imp+(((ipp-imp)^2)/3)))^0.5</f>
        <v>6.3196338777894923</v>
      </c>
      <c r="D41" s="55" t="s">
        <v>34</v>
      </c>
    </row>
    <row r="42" spans="1:5" ht="18.75" x14ac:dyDescent="0.35">
      <c r="A42" s="55" t="s">
        <v>244</v>
      </c>
      <c r="B42" s="55" t="s">
        <v>49</v>
      </c>
      <c r="C42" s="61">
        <f>(((1-dmax))*(ipp*_imp2+(((ipp-_imp2)^2)/3)))^0.5</f>
        <v>4.724072972388293</v>
      </c>
      <c r="D42" s="55" t="s">
        <v>34</v>
      </c>
    </row>
    <row r="43" spans="1:5" ht="18.75" x14ac:dyDescent="0.35">
      <c r="A43" s="55" t="s">
        <v>292</v>
      </c>
      <c r="B43" s="55" t="s">
        <v>51</v>
      </c>
      <c r="C43" s="61">
        <f>((iprms1)^2+(iprms2)^2)^0.5</f>
        <v>7.8901608220462913</v>
      </c>
      <c r="D43" s="55" t="s">
        <v>34</v>
      </c>
    </row>
    <row r="44" spans="1:5" ht="18.75" x14ac:dyDescent="0.35">
      <c r="A44" s="55" t="s">
        <v>72</v>
      </c>
      <c r="B44" s="55" t="s">
        <v>35</v>
      </c>
      <c r="C44" s="92">
        <v>3</v>
      </c>
      <c r="D44" s="55" t="s">
        <v>36</v>
      </c>
      <c r="E44" s="83" t="str">
        <f>IF(lmag2&lt;lmag,"Please make Lmag &gt; or = Calculated Lmag","")</f>
        <v>Please make Lmag &gt; or = Calculated Lmag</v>
      </c>
    </row>
    <row r="45" spans="1:5" ht="18.75" x14ac:dyDescent="0.35">
      <c r="A45" s="55" t="s">
        <v>54</v>
      </c>
      <c r="B45" s="55" t="s">
        <v>50</v>
      </c>
      <c r="C45" s="92">
        <v>25</v>
      </c>
      <c r="D45" s="55" t="s">
        <v>205</v>
      </c>
    </row>
    <row r="46" spans="1:5" ht="18.75" x14ac:dyDescent="0.35">
      <c r="A46" s="55" t="s">
        <v>55</v>
      </c>
      <c r="B46" s="55" t="s">
        <v>52</v>
      </c>
      <c r="C46" s="92">
        <v>50</v>
      </c>
      <c r="D46" s="55" t="s">
        <v>205</v>
      </c>
    </row>
    <row r="47" spans="1:5" ht="18.75" x14ac:dyDescent="0.35">
      <c r="A47" s="55" t="s">
        <v>298</v>
      </c>
      <c r="B47" s="55" t="s">
        <v>297</v>
      </c>
      <c r="C47" s="92">
        <v>2</v>
      </c>
      <c r="D47" s="55" t="s">
        <v>74</v>
      </c>
    </row>
    <row r="48" spans="1:5" ht="18.75" x14ac:dyDescent="0.35">
      <c r="A48" s="62" t="s">
        <v>56</v>
      </c>
      <c r="B48" s="55" t="s">
        <v>53</v>
      </c>
      <c r="C48" s="61">
        <f>2*((iprms^2*(dcrp/1000))+2*(isrms^2*(dcrs/1000)))</f>
        <v>48.185069852850667</v>
      </c>
      <c r="D48" s="55" t="s">
        <v>18</v>
      </c>
    </row>
    <row r="49" spans="1:6" ht="18.75" x14ac:dyDescent="0.35">
      <c r="A49" s="55" t="s">
        <v>57</v>
      </c>
      <c r="B49" s="55" t="s">
        <v>24</v>
      </c>
      <c r="C49" s="61">
        <f>pbudget-C48</f>
        <v>4.4465090945178005</v>
      </c>
      <c r="D49" s="55" t="s">
        <v>18</v>
      </c>
      <c r="E49" s="83" t="str">
        <f>IF(C49&lt;0,"PBudget Cannot be Made with Selected Components","")</f>
        <v/>
      </c>
    </row>
    <row r="50" spans="1:6" x14ac:dyDescent="0.25">
      <c r="A50" s="80" t="s">
        <v>58</v>
      </c>
      <c r="B50" s="80"/>
      <c r="C50" s="99" t="s">
        <v>19</v>
      </c>
      <c r="D50" s="80"/>
      <c r="E50" s="80"/>
      <c r="F50" s="80"/>
    </row>
    <row r="51" spans="1:6" ht="18.75" x14ac:dyDescent="0.35">
      <c r="A51" s="62" t="s">
        <v>279</v>
      </c>
      <c r="B51" s="55" t="s">
        <v>69</v>
      </c>
      <c r="C51" s="92">
        <v>12</v>
      </c>
      <c r="D51" s="55" t="s">
        <v>17</v>
      </c>
    </row>
    <row r="52" spans="1:6" ht="18.75" x14ac:dyDescent="0.35">
      <c r="A52" s="55" t="s">
        <v>60</v>
      </c>
      <c r="B52" s="55" t="s">
        <v>59</v>
      </c>
      <c r="C52" s="92">
        <v>220</v>
      </c>
      <c r="D52" s="55" t="s">
        <v>205</v>
      </c>
    </row>
    <row r="53" spans="1:6" ht="18.75" x14ac:dyDescent="0.35">
      <c r="A53" s="55" t="s">
        <v>61</v>
      </c>
      <c r="B53" s="55" t="s">
        <v>63</v>
      </c>
      <c r="C53" s="92">
        <v>780</v>
      </c>
      <c r="D53" s="55" t="s">
        <v>62</v>
      </c>
    </row>
    <row r="54" spans="1:6" ht="18.75" x14ac:dyDescent="0.35">
      <c r="A54" s="55" t="s">
        <v>115</v>
      </c>
      <c r="B54" s="55" t="s">
        <v>70</v>
      </c>
      <c r="C54" s="92">
        <v>15</v>
      </c>
      <c r="D54" s="55" t="s">
        <v>71</v>
      </c>
    </row>
    <row r="55" spans="1:6" ht="36" x14ac:dyDescent="0.35">
      <c r="A55" s="57" t="s">
        <v>116</v>
      </c>
      <c r="B55" s="55" t="s">
        <v>64</v>
      </c>
      <c r="C55" s="92">
        <v>25</v>
      </c>
      <c r="D55" s="55" t="s">
        <v>17</v>
      </c>
    </row>
    <row r="56" spans="1:6" ht="18.75" x14ac:dyDescent="0.35">
      <c r="A56" s="55" t="s">
        <v>65</v>
      </c>
      <c r="B56" s="55" t="s">
        <v>66</v>
      </c>
      <c r="C56" s="61">
        <f>C53*((C55/VINMAX)^0.5)</f>
        <v>192.60727134666996</v>
      </c>
      <c r="D56" s="55" t="s">
        <v>62</v>
      </c>
    </row>
    <row r="57" spans="1:6" ht="18.75" x14ac:dyDescent="0.35">
      <c r="A57" s="55" t="s">
        <v>68</v>
      </c>
      <c r="B57" s="55" t="s">
        <v>67</v>
      </c>
      <c r="C57" s="61">
        <f>((iprms^2)*(rdsonqa/1000))+(2*(QAg*0.000000001)*vg*(fs*1000/2))</f>
        <v>13.714020315505927</v>
      </c>
      <c r="D57" s="55" t="s">
        <v>18</v>
      </c>
    </row>
    <row r="58" spans="1:6" ht="18.75" x14ac:dyDescent="0.35">
      <c r="A58" s="55" t="s">
        <v>57</v>
      </c>
      <c r="B58" s="55" t="s">
        <v>24</v>
      </c>
      <c r="C58" s="61">
        <f>C49-4*C57</f>
        <v>-50.409572167505907</v>
      </c>
      <c r="D58" s="55" t="s">
        <v>18</v>
      </c>
      <c r="E58" s="83" t="str">
        <f>IF(C58&lt;0,"PBudget Cannot be Made with Selected Components","")</f>
        <v>PBudget Cannot be Made with Selected Components</v>
      </c>
    </row>
    <row r="59" spans="1:6" ht="18.75" x14ac:dyDescent="0.35">
      <c r="A59" s="80" t="s">
        <v>282</v>
      </c>
      <c r="B59" s="59"/>
      <c r="C59" s="100"/>
      <c r="D59" s="59"/>
      <c r="E59" s="80"/>
      <c r="F59" s="80"/>
    </row>
    <row r="60" spans="1:6" ht="18.75" x14ac:dyDescent="0.35">
      <c r="A60" s="55" t="s">
        <v>85</v>
      </c>
      <c r="B60" s="55" t="s">
        <v>73</v>
      </c>
      <c r="C60" s="61">
        <f>(((2*cossqaavg*0.000000000001)*((vin)^2)/((ipp/2)-(dilout/(2*_ta1)))^2)*1000000)-llk</f>
        <v>1.955241378035903</v>
      </c>
      <c r="D60" s="55" t="s">
        <v>74</v>
      </c>
      <c r="E60" s="83" t="str">
        <f>IF(C60&lt;0,"Calculated Ls is Negative and Ls Might Not be Needed, However, Leave a Place Holder for Ls Just in Case","")</f>
        <v/>
      </c>
    </row>
    <row r="61" spans="1:6" ht="18.75" x14ac:dyDescent="0.35">
      <c r="A61" s="55" t="s">
        <v>172</v>
      </c>
      <c r="B61" s="55" t="s">
        <v>73</v>
      </c>
      <c r="C61" s="92">
        <v>4</v>
      </c>
      <c r="D61" s="55" t="s">
        <v>74</v>
      </c>
    </row>
    <row r="62" spans="1:6" ht="18.75" x14ac:dyDescent="0.35">
      <c r="A62" s="55" t="s">
        <v>76</v>
      </c>
      <c r="B62" s="55" t="s">
        <v>75</v>
      </c>
      <c r="C62" s="92">
        <v>30</v>
      </c>
      <c r="D62" s="55" t="s">
        <v>205</v>
      </c>
    </row>
    <row r="63" spans="1:6" ht="18.75" x14ac:dyDescent="0.35">
      <c r="A63" s="55" t="s">
        <v>77</v>
      </c>
      <c r="B63" s="55" t="s">
        <v>78</v>
      </c>
      <c r="C63" s="61">
        <f>2*iprms^2*(C62*0.001)</f>
        <v>3.7352782678652523</v>
      </c>
      <c r="D63" s="55" t="s">
        <v>18</v>
      </c>
    </row>
    <row r="64" spans="1:6" ht="18.75" x14ac:dyDescent="0.35">
      <c r="A64" s="55" t="s">
        <v>57</v>
      </c>
      <c r="B64" s="55" t="s">
        <v>24</v>
      </c>
      <c r="C64" s="61">
        <f>C58-C63</f>
        <v>-54.144850435371161</v>
      </c>
      <c r="D64" s="55" t="s">
        <v>18</v>
      </c>
      <c r="E64" s="83" t="str">
        <f>IF(C64&lt;0,"PBudget Cannot be Made with Selected Components","")</f>
        <v>PBudget Cannot be Made with Selected Components</v>
      </c>
    </row>
    <row r="65" spans="1:6" ht="18.75" x14ac:dyDescent="0.35">
      <c r="A65" s="80" t="s">
        <v>283</v>
      </c>
      <c r="B65" s="59"/>
      <c r="C65" s="100"/>
      <c r="D65" s="59"/>
      <c r="E65" s="80"/>
      <c r="F65" s="80"/>
    </row>
    <row r="66" spans="1:6" ht="18.75" x14ac:dyDescent="0.35">
      <c r="A66" s="55" t="s">
        <v>86</v>
      </c>
      <c r="B66" s="55" t="s">
        <v>79</v>
      </c>
      <c r="C66" s="61">
        <f>((VOUT*(1-dtyp))/(dilout*fs))*1000</f>
        <v>68.099322799097067</v>
      </c>
      <c r="D66" s="55" t="s">
        <v>74</v>
      </c>
    </row>
    <row r="67" spans="1:6" ht="18.75" x14ac:dyDescent="0.35">
      <c r="A67" s="55" t="s">
        <v>83</v>
      </c>
      <c r="B67" s="55" t="s">
        <v>84</v>
      </c>
      <c r="C67" s="61">
        <f>((pout/VOUT)^2+(dilout/(3^0.5))^2)^0.5</f>
        <v>20.971762320196525</v>
      </c>
      <c r="D67" s="55" t="s">
        <v>34</v>
      </c>
    </row>
    <row r="68" spans="1:6" ht="18.75" x14ac:dyDescent="0.35">
      <c r="A68" s="55" t="s">
        <v>173</v>
      </c>
      <c r="B68" s="55" t="s">
        <v>79</v>
      </c>
      <c r="C68" s="92">
        <v>68</v>
      </c>
      <c r="D68" s="55" t="s">
        <v>74</v>
      </c>
      <c r="E68" s="55" t="str">
        <f>IF(lout&lt;(C66*0.9),"Lout needs to be &gt; or = Lout Calculated","")</f>
        <v/>
      </c>
    </row>
    <row r="69" spans="1:6" ht="18.75" x14ac:dyDescent="0.35">
      <c r="A69" s="55" t="s">
        <v>264</v>
      </c>
      <c r="B69" s="55" t="s">
        <v>80</v>
      </c>
      <c r="C69" s="92">
        <v>0.75</v>
      </c>
      <c r="D69" s="55" t="s">
        <v>205</v>
      </c>
    </row>
    <row r="70" spans="1:6" ht="18.75" x14ac:dyDescent="0.35">
      <c r="A70" s="55" t="s">
        <v>81</v>
      </c>
      <c r="B70" s="55" t="s">
        <v>82</v>
      </c>
      <c r="C70" s="61">
        <f>2*iloutrms^2*dcrlout*0.001</f>
        <v>0.6597222222222221</v>
      </c>
      <c r="D70" s="55" t="s">
        <v>18</v>
      </c>
    </row>
    <row r="71" spans="1:6" ht="18.75" x14ac:dyDescent="0.35">
      <c r="A71" s="55" t="s">
        <v>57</v>
      </c>
      <c r="B71" s="55" t="s">
        <v>24</v>
      </c>
      <c r="C71" s="61">
        <f>C64-C70</f>
        <v>-54.804572657593383</v>
      </c>
      <c r="D71" s="55" t="s">
        <v>18</v>
      </c>
      <c r="E71" s="83" t="str">
        <f>IF(C71&lt;0,"PBudget Cannot be Made with Selected Components","")</f>
        <v>PBudget Cannot be Made with Selected Components</v>
      </c>
    </row>
    <row r="72" spans="1:6" ht="18.75" x14ac:dyDescent="0.35">
      <c r="A72" s="80" t="s">
        <v>284</v>
      </c>
      <c r="B72" s="59"/>
      <c r="C72" s="100"/>
      <c r="D72" s="59"/>
      <c r="E72" s="80"/>
      <c r="F72" s="80"/>
    </row>
    <row r="73" spans="1:6" ht="18.75" x14ac:dyDescent="0.35">
      <c r="A73" s="55" t="s">
        <v>88</v>
      </c>
      <c r="B73" s="55" t="s">
        <v>87</v>
      </c>
      <c r="C73" s="61">
        <f>((lout*pout*0.9)/VOUT)/VOUT</f>
        <v>26.5625</v>
      </c>
      <c r="D73" s="55" t="s">
        <v>89</v>
      </c>
    </row>
    <row r="74" spans="1:6" ht="18.75" x14ac:dyDescent="0.35">
      <c r="A74" s="55" t="s">
        <v>206</v>
      </c>
      <c r="B74" s="55" t="s">
        <v>90</v>
      </c>
      <c r="C74" s="61">
        <f>((VTRAN*0.9)/((pout*0.9)/VOUT))*10^3</f>
        <v>28.800000000000004</v>
      </c>
      <c r="D74" s="55" t="s">
        <v>205</v>
      </c>
    </row>
    <row r="75" spans="1:6" ht="18.75" x14ac:dyDescent="0.35">
      <c r="A75" s="55" t="s">
        <v>207</v>
      </c>
      <c r="B75" s="55" t="s">
        <v>91</v>
      </c>
      <c r="C75" s="61">
        <f>(pout*0.9*thu)/(VOUT*VTRAN*0.1)</f>
        <v>8300.78125</v>
      </c>
      <c r="D75" s="55" t="s">
        <v>92</v>
      </c>
    </row>
    <row r="76" spans="1:6" ht="18.75" x14ac:dyDescent="0.35">
      <c r="A76" s="55" t="s">
        <v>98</v>
      </c>
      <c r="B76" s="55" t="s">
        <v>97</v>
      </c>
      <c r="C76" s="61">
        <f>dilout/(3^0.5)</f>
        <v>2.4056261216234409</v>
      </c>
      <c r="D76" s="55" t="s">
        <v>34</v>
      </c>
    </row>
    <row r="77" spans="1:6" x14ac:dyDescent="0.25">
      <c r="A77" s="55" t="s">
        <v>175</v>
      </c>
      <c r="B77" s="55" t="s">
        <v>93</v>
      </c>
      <c r="C77" s="92">
        <v>6</v>
      </c>
    </row>
    <row r="78" spans="1:6" x14ac:dyDescent="0.25">
      <c r="A78" s="55" t="s">
        <v>94</v>
      </c>
      <c r="C78" s="92">
        <v>1500</v>
      </c>
      <c r="D78" s="55" t="s">
        <v>92</v>
      </c>
    </row>
    <row r="79" spans="1:6" x14ac:dyDescent="0.25">
      <c r="A79" s="55" t="s">
        <v>95</v>
      </c>
      <c r="C79" s="92">
        <v>31</v>
      </c>
      <c r="D79" s="55" t="s">
        <v>205</v>
      </c>
    </row>
    <row r="80" spans="1:6" ht="18.75" x14ac:dyDescent="0.35">
      <c r="A80" s="55" t="s">
        <v>96</v>
      </c>
      <c r="B80" s="55" t="s">
        <v>91</v>
      </c>
      <c r="C80" s="61">
        <f>C77*C78</f>
        <v>9000</v>
      </c>
      <c r="D80" s="55" t="s">
        <v>92</v>
      </c>
    </row>
    <row r="81" spans="1:7" ht="18.75" x14ac:dyDescent="0.35">
      <c r="A81" s="55" t="s">
        <v>265</v>
      </c>
      <c r="B81" s="55" t="s">
        <v>90</v>
      </c>
      <c r="C81" s="61">
        <f>C79/C77</f>
        <v>5.166666666666667</v>
      </c>
      <c r="D81" s="55" t="s">
        <v>205</v>
      </c>
    </row>
    <row r="82" spans="1:7" ht="18.75" x14ac:dyDescent="0.35">
      <c r="A82" s="55" t="s">
        <v>99</v>
      </c>
      <c r="B82" s="55" t="s">
        <v>100</v>
      </c>
      <c r="C82" s="61">
        <f>(C76^2)*C81*0.001</f>
        <v>2.9899691358024696E-2</v>
      </c>
      <c r="D82" s="55" t="s">
        <v>18</v>
      </c>
    </row>
    <row r="83" spans="1:7" ht="18.75" x14ac:dyDescent="0.35">
      <c r="A83" s="55" t="s">
        <v>57</v>
      </c>
      <c r="B83" s="55" t="s">
        <v>24</v>
      </c>
      <c r="C83" s="61">
        <f>C71-C82</f>
        <v>-54.834472348951408</v>
      </c>
      <c r="D83" s="55" t="s">
        <v>18</v>
      </c>
      <c r="E83" s="83" t="str">
        <f>IF(C83&lt;0,"PBudget Cannot be Made with Selected Components","")</f>
        <v>PBudget Cannot be Made with Selected Components</v>
      </c>
    </row>
    <row r="84" spans="1:7" x14ac:dyDescent="0.25">
      <c r="A84" s="80" t="s">
        <v>109</v>
      </c>
      <c r="B84" s="59"/>
      <c r="C84" s="100"/>
      <c r="D84" s="59"/>
      <c r="E84" s="80"/>
      <c r="F84" s="80"/>
    </row>
    <row r="85" spans="1:7" ht="18.75" x14ac:dyDescent="0.35">
      <c r="A85" s="55" t="s">
        <v>135</v>
      </c>
      <c r="B85" s="55" t="s">
        <v>117</v>
      </c>
      <c r="C85" s="93">
        <f>2*VINMAX/_taa1</f>
        <v>273.33333333333331</v>
      </c>
      <c r="D85" s="55" t="s">
        <v>17</v>
      </c>
      <c r="E85" s="105" t="s">
        <v>336</v>
      </c>
    </row>
    <row r="86" spans="1:7" ht="18.75" x14ac:dyDescent="0.35">
      <c r="A86" s="55" t="s">
        <v>112</v>
      </c>
      <c r="B86" s="55" t="s">
        <v>110</v>
      </c>
      <c r="C86" s="92">
        <v>51</v>
      </c>
      <c r="D86" s="55" t="s">
        <v>71</v>
      </c>
    </row>
    <row r="87" spans="1:7" ht="18.75" x14ac:dyDescent="0.35">
      <c r="A87" s="55" t="s">
        <v>266</v>
      </c>
      <c r="B87" s="55" t="s">
        <v>111</v>
      </c>
      <c r="C87" s="92">
        <v>90</v>
      </c>
      <c r="D87" s="55" t="s">
        <v>205</v>
      </c>
    </row>
    <row r="88" spans="1:7" ht="18.75" x14ac:dyDescent="0.35">
      <c r="A88" s="55" t="s">
        <v>119</v>
      </c>
      <c r="B88" s="55" t="s">
        <v>118</v>
      </c>
      <c r="C88" s="92">
        <v>25</v>
      </c>
      <c r="D88" s="55" t="s">
        <v>17</v>
      </c>
    </row>
    <row r="89" spans="1:7" ht="18.75" x14ac:dyDescent="0.35">
      <c r="A89" s="55" t="s">
        <v>121</v>
      </c>
      <c r="B89" s="55" t="s">
        <v>120</v>
      </c>
      <c r="C89" s="92">
        <v>40</v>
      </c>
      <c r="D89" s="55" t="s">
        <v>62</v>
      </c>
    </row>
    <row r="90" spans="1:7" ht="18.75" x14ac:dyDescent="0.35">
      <c r="A90" s="55" t="s">
        <v>123</v>
      </c>
      <c r="B90" s="55" t="s">
        <v>122</v>
      </c>
      <c r="C90" s="61">
        <f>C89*((C85/C88)^0.5)</f>
        <v>132.26236552146392</v>
      </c>
      <c r="D90" s="55" t="s">
        <v>62</v>
      </c>
    </row>
    <row r="91" spans="1:7" ht="18.75" x14ac:dyDescent="0.35">
      <c r="A91" s="55" t="s">
        <v>124</v>
      </c>
      <c r="B91" s="55" t="s">
        <v>125</v>
      </c>
      <c r="C91" s="61">
        <f>isrms</f>
        <v>15.012051485883426</v>
      </c>
      <c r="D91" s="55" t="s">
        <v>34</v>
      </c>
    </row>
    <row r="92" spans="1:7" ht="18.75" x14ac:dyDescent="0.35">
      <c r="A92" s="55" t="s">
        <v>128</v>
      </c>
      <c r="B92" s="55" t="s">
        <v>126</v>
      </c>
      <c r="C92" s="92">
        <v>28</v>
      </c>
      <c r="D92" s="55" t="s">
        <v>71</v>
      </c>
    </row>
    <row r="93" spans="1:7" ht="18.75" x14ac:dyDescent="0.35">
      <c r="A93" s="55" t="s">
        <v>267</v>
      </c>
      <c r="B93" s="55" t="s">
        <v>127</v>
      </c>
      <c r="C93" s="92">
        <v>11</v>
      </c>
      <c r="D93" s="55" t="s">
        <v>71</v>
      </c>
    </row>
    <row r="94" spans="1:7" ht="18.75" x14ac:dyDescent="0.35">
      <c r="A94" s="55" t="s">
        <v>129</v>
      </c>
      <c r="B94" s="55" t="s">
        <v>130</v>
      </c>
      <c r="C94" s="92">
        <v>4</v>
      </c>
      <c r="D94" s="55" t="s">
        <v>34</v>
      </c>
    </row>
    <row r="95" spans="1:7" ht="18.75" x14ac:dyDescent="0.35">
      <c r="A95" s="55" t="s">
        <v>268</v>
      </c>
      <c r="B95" s="55" t="s">
        <v>131</v>
      </c>
      <c r="C95" s="61">
        <f>(C92-C93)/(C94/2)</f>
        <v>8.5</v>
      </c>
      <c r="D95" s="55" t="s">
        <v>132</v>
      </c>
    </row>
    <row r="96" spans="1:7" ht="18.75" x14ac:dyDescent="0.35">
      <c r="A96" s="55" t="s">
        <v>133</v>
      </c>
      <c r="B96" s="55" t="s">
        <v>134</v>
      </c>
      <c r="C96" s="61">
        <f>((isrms^2)*(rdsonqe*0.001))+(pout/VOUT)*vdsqe*(2*tr*0.000000001)*((fs*1000)/2)+(2*(cossqeavg*0.000000000001)*(vdsqe^2)*((fs*1000)/2))+(2*(qeg*0.000000001)*vg*((fs*1000)/2))</f>
        <v>26.172176689740354</v>
      </c>
      <c r="D96" s="55" t="s">
        <v>18</v>
      </c>
      <c r="G96" s="55">
        <v>7.66</v>
      </c>
    </row>
    <row r="97" spans="1:6" ht="18.75" x14ac:dyDescent="0.35">
      <c r="A97" s="57" t="s">
        <v>57</v>
      </c>
      <c r="B97" s="55" t="s">
        <v>24</v>
      </c>
      <c r="C97" s="61">
        <f>C83-2*C96</f>
        <v>-107.17882572843212</v>
      </c>
      <c r="D97" s="55" t="s">
        <v>18</v>
      </c>
      <c r="E97" s="83" t="str">
        <f>IF(C97&lt;0,"PBudget Cannot be Made with Selected Components","")</f>
        <v>PBudget Cannot be Made with Selected Components</v>
      </c>
    </row>
    <row r="98" spans="1:6" ht="18.75" x14ac:dyDescent="0.35">
      <c r="A98" s="80" t="s">
        <v>285</v>
      </c>
      <c r="B98" s="59"/>
      <c r="C98" s="100"/>
      <c r="D98" s="59"/>
      <c r="E98" s="80"/>
      <c r="F98" s="80"/>
    </row>
    <row r="99" spans="1:6" hidden="1" x14ac:dyDescent="0.25">
      <c r="A99" s="57" t="s">
        <v>166</v>
      </c>
      <c r="B99" s="55" t="s">
        <v>165</v>
      </c>
      <c r="C99" s="61">
        <f>1/(2*PI()*(ls*0.000001*2*cossqaavg*0.000000000001)^0.5)</f>
        <v>4054513.9482991537</v>
      </c>
      <c r="D99" s="55" t="s">
        <v>19</v>
      </c>
    </row>
    <row r="100" spans="1:6" ht="18.75" x14ac:dyDescent="0.35">
      <c r="A100" s="57" t="s">
        <v>167</v>
      </c>
      <c r="B100" s="55" t="s">
        <v>164</v>
      </c>
      <c r="C100" s="61">
        <f>2.2*1000000000/(C99*4)</f>
        <v>135.65127830691569</v>
      </c>
      <c r="D100" s="55" t="s">
        <v>132</v>
      </c>
    </row>
    <row r="101" spans="1:6" hidden="1" x14ac:dyDescent="0.25">
      <c r="A101" s="57" t="s">
        <v>170</v>
      </c>
      <c r="B101" s="55" t="s">
        <v>171</v>
      </c>
      <c r="C101" s="61">
        <f>1/(fs*1000)</f>
        <v>1.0000000000000001E-5</v>
      </c>
      <c r="E101" s="55" t="s">
        <v>19</v>
      </c>
    </row>
    <row r="102" spans="1:6" ht="18.75" x14ac:dyDescent="0.35">
      <c r="A102" s="57" t="s">
        <v>169</v>
      </c>
      <c r="B102" s="55" t="s">
        <v>168</v>
      </c>
      <c r="C102" s="61">
        <f>(C101-C100*0.000000001)/C101</f>
        <v>0.98643487216930847</v>
      </c>
    </row>
    <row r="103" spans="1:6" ht="18.75" x14ac:dyDescent="0.35">
      <c r="A103" s="55" t="s">
        <v>102</v>
      </c>
      <c r="B103" s="55" t="s">
        <v>101</v>
      </c>
      <c r="C103" s="61">
        <f>((2*dclamp*vrdson)+(_taa1*(VOUT+vrdson)))/dclamp</f>
        <v>147.49261712873613</v>
      </c>
      <c r="D103" s="55" t="s">
        <v>17</v>
      </c>
    </row>
    <row r="104" spans="1:6" ht="18.75" x14ac:dyDescent="0.35">
      <c r="A104" s="55" t="s">
        <v>104</v>
      </c>
      <c r="B104" s="55" t="s">
        <v>103</v>
      </c>
      <c r="C104" s="61">
        <f>((2*pout*(1/60))/(vin^2-C103^2))*1000000</f>
        <v>319.68002977487464</v>
      </c>
      <c r="D104" s="55" t="s">
        <v>92</v>
      </c>
      <c r="E104" s="83" t="str">
        <f>IF(VINMIN&lt;200,"Non-PFC Cin Capacitance Cannot Be Calculated, Use Other Method","")</f>
        <v/>
      </c>
    </row>
    <row r="105" spans="1:6" ht="18.75" x14ac:dyDescent="0.35">
      <c r="A105" s="55" t="s">
        <v>105</v>
      </c>
      <c r="B105" s="55" t="s">
        <v>106</v>
      </c>
      <c r="C105" s="61">
        <f>(    (iprms1^2)    -(        ( pout/(VINMIN*Eff)       )   ^2)           )^0.5</f>
        <v>3.8486753606802369</v>
      </c>
      <c r="D105" s="55" t="s">
        <v>34</v>
      </c>
    </row>
    <row r="106" spans="1:6" ht="18.75" x14ac:dyDescent="0.35">
      <c r="A106" s="55" t="s">
        <v>176</v>
      </c>
      <c r="B106" s="55" t="s">
        <v>103</v>
      </c>
      <c r="C106" s="92">
        <v>330</v>
      </c>
      <c r="D106" s="55" t="s">
        <v>92</v>
      </c>
    </row>
    <row r="107" spans="1:6" ht="18.75" x14ac:dyDescent="0.35">
      <c r="A107" s="55" t="s">
        <v>269</v>
      </c>
      <c r="B107" s="55" t="s">
        <v>107</v>
      </c>
      <c r="C107" s="92">
        <v>150</v>
      </c>
      <c r="D107" s="55" t="s">
        <v>205</v>
      </c>
    </row>
    <row r="108" spans="1:6" ht="18.75" x14ac:dyDescent="0.35">
      <c r="A108" s="55" t="s">
        <v>270</v>
      </c>
      <c r="B108" s="55" t="s">
        <v>108</v>
      </c>
      <c r="C108" s="61">
        <f>(C105^2)*(C107*0.001)</f>
        <v>2.2218453047860725</v>
      </c>
      <c r="D108" s="55" t="s">
        <v>18</v>
      </c>
    </row>
    <row r="109" spans="1:6" ht="54.75" customHeight="1" x14ac:dyDescent="0.35">
      <c r="A109" s="57" t="s">
        <v>286</v>
      </c>
      <c r="B109" s="55" t="s">
        <v>24</v>
      </c>
      <c r="C109" s="61">
        <f>C97-C108</f>
        <v>-109.40067103321819</v>
      </c>
      <c r="D109" s="55" t="s">
        <v>18</v>
      </c>
      <c r="E109" s="83" t="str">
        <f>IF(C109&lt;0,"PBudget Cannot be Made with Selected Components","")</f>
        <v>PBudget Cannot be Made with Selected Components</v>
      </c>
    </row>
    <row r="110" spans="1:6" ht="18.75" x14ac:dyDescent="0.35">
      <c r="A110" s="80" t="s">
        <v>293</v>
      </c>
      <c r="B110" s="80"/>
      <c r="C110" s="99" t="s">
        <v>19</v>
      </c>
      <c r="D110" s="80" t="s">
        <v>19</v>
      </c>
      <c r="E110" s="80" t="s">
        <v>19</v>
      </c>
      <c r="F110" s="80"/>
    </row>
    <row r="111" spans="1:6" ht="18.75" x14ac:dyDescent="0.35">
      <c r="A111" s="55" t="s">
        <v>137</v>
      </c>
      <c r="B111" s="55" t="s">
        <v>136</v>
      </c>
      <c r="C111" s="92">
        <v>100</v>
      </c>
    </row>
    <row r="112" spans="1:6" ht="18.75" x14ac:dyDescent="0.35">
      <c r="A112" s="55" t="s">
        <v>158</v>
      </c>
      <c r="B112" s="55" t="s">
        <v>157</v>
      </c>
      <c r="C112" s="93">
        <f>((pout/(VOUT)+(dilout/2))/(Eff*_taa1))+((VINMIN*dmax)/(lmag2*fs))</f>
        <v>8.502935672514619</v>
      </c>
      <c r="D112" s="55" t="s">
        <v>34</v>
      </c>
      <c r="E112" s="55" t="s">
        <v>19</v>
      </c>
    </row>
    <row r="113" spans="1:6" ht="18.75" x14ac:dyDescent="0.35">
      <c r="A113" s="55" t="s">
        <v>155</v>
      </c>
      <c r="B113" s="55" t="s">
        <v>154</v>
      </c>
      <c r="C113" s="61">
        <f>(2-0.2)/((_ipp1/_ta2)*1.1)</f>
        <v>19.244690297412369</v>
      </c>
      <c r="D113" s="55" t="s">
        <v>156</v>
      </c>
    </row>
    <row r="114" spans="1:6" ht="18.75" x14ac:dyDescent="0.35">
      <c r="A114" s="55" t="s">
        <v>295</v>
      </c>
      <c r="B114" s="55" t="s">
        <v>154</v>
      </c>
      <c r="C114" s="61">
        <f>(IF((10^(LOG(C113)-INT(LOG(C113)))*100)-VLOOKUP((10^(LOG(C113)-INT(LOG(C113)))*100),E48_s:E48_f,1)&lt;VLOOKUP((10^(LOG(C113)-INT(LOG(C113)))*100),E48_s:E48_f,2)-(10^(LOG(C113)-INT(LOG(C113)))*100),VLOOKUP((10^(LOG(C113)-INT(LOG(C113)))*100),E48_s:E48_f,1),VLOOKUP((10^(LOG(C113)-INT(LOG(C113)))*100),E48_s:E48_f,2)))*10^INT(LOG(C113))/100</f>
        <v>19.600000000000001</v>
      </c>
      <c r="D114" s="55" t="s">
        <v>156</v>
      </c>
    </row>
    <row r="115" spans="1:6" ht="18.75" x14ac:dyDescent="0.35">
      <c r="A115" s="55" t="s">
        <v>159</v>
      </c>
      <c r="B115" s="55" t="s">
        <v>154</v>
      </c>
      <c r="C115" s="92">
        <v>22</v>
      </c>
      <c r="D115" s="55" t="s">
        <v>156</v>
      </c>
      <c r="E115" s="55" t="s">
        <v>19</v>
      </c>
    </row>
    <row r="116" spans="1:6" ht="18.75" x14ac:dyDescent="0.35">
      <c r="A116" s="55" t="s">
        <v>160</v>
      </c>
      <c r="B116" s="55" t="s">
        <v>161</v>
      </c>
      <c r="C116" s="61">
        <f>((iprms1/_ta2)^2)*C115</f>
        <v>8.7863099168470238E-2</v>
      </c>
      <c r="D116" s="55" t="s">
        <v>18</v>
      </c>
    </row>
    <row r="117" spans="1:6" ht="18.75" x14ac:dyDescent="0.35">
      <c r="A117" s="55" t="s">
        <v>163</v>
      </c>
      <c r="B117" s="55" t="s">
        <v>162</v>
      </c>
      <c r="C117" s="61">
        <f>(2*(dclamp))/(1-dclamp)</f>
        <v>145.4368708472424</v>
      </c>
      <c r="D117" s="55" t="s">
        <v>17</v>
      </c>
    </row>
    <row r="118" spans="1:6" ht="18.75" x14ac:dyDescent="0.35">
      <c r="A118" s="55" t="s">
        <v>177</v>
      </c>
      <c r="B118" s="55" t="s">
        <v>178</v>
      </c>
      <c r="C118" s="61">
        <f>(pout*0.6)/(VINMIN*Eff*_ta2)</f>
        <v>3.007518796992481E-2</v>
      </c>
      <c r="D118" s="55" t="s">
        <v>18</v>
      </c>
    </row>
    <row r="119" spans="1:6" ht="18.75" x14ac:dyDescent="0.35">
      <c r="A119" s="80" t="s">
        <v>287</v>
      </c>
      <c r="B119" s="59"/>
      <c r="C119" s="100"/>
      <c r="D119" s="59"/>
      <c r="E119" s="80" t="s">
        <v>19</v>
      </c>
      <c r="F119" s="80"/>
    </row>
    <row r="120" spans="1:6" x14ac:dyDescent="0.25">
      <c r="A120" s="55" t="s">
        <v>271</v>
      </c>
      <c r="B120" s="55" t="s">
        <v>179</v>
      </c>
      <c r="C120" s="92">
        <v>2.5</v>
      </c>
      <c r="D120" s="55" t="s">
        <v>17</v>
      </c>
      <c r="E120" s="83" t="str">
        <f>IF(_va1&gt;VOUT,"V1 Needs to be &lt; VOUT",IF(_va1=VOUT,"V1 Needs to be &lt; VOUT",""))</f>
        <v/>
      </c>
      <c r="F120" s="83"/>
    </row>
    <row r="121" spans="1:6" ht="18.75" x14ac:dyDescent="0.35">
      <c r="A121" s="55" t="s">
        <v>181</v>
      </c>
      <c r="B121" s="55" t="s">
        <v>180</v>
      </c>
      <c r="C121" s="92">
        <v>2.37</v>
      </c>
      <c r="D121" s="55" t="s">
        <v>208</v>
      </c>
      <c r="E121" s="83" t="str">
        <f>IF(_va1&lt;0.5,"V1 Needs to be Greater than 0.5","")</f>
        <v/>
      </c>
    </row>
    <row r="122" spans="1:6" ht="18.75" x14ac:dyDescent="0.35">
      <c r="A122" s="55" t="s">
        <v>183</v>
      </c>
      <c r="B122" s="55" t="s">
        <v>182</v>
      </c>
      <c r="C122" s="61">
        <f>C121*(5-C120)/C120</f>
        <v>2.37</v>
      </c>
      <c r="D122" s="55" t="s">
        <v>208</v>
      </c>
    </row>
    <row r="123" spans="1:6" ht="18.75" x14ac:dyDescent="0.35">
      <c r="A123" s="55" t="s">
        <v>295</v>
      </c>
      <c r="B123" s="55" t="s">
        <v>182</v>
      </c>
      <c r="C123" s="61">
        <f>(IF((10^(LOG(C122)-INT(LOG(C122)))*100)-VLOOKUP((10^(LOG(C122)-INT(LOG(C122)))*100),E48_s:E48_f,1)&lt;VLOOKUP((10^(LOG(C122)-INT(LOG(C122)))*100),E48_s:E48_f,2)-(10^(LOG(C122)-INT(LOG(C122)))*100),VLOOKUP((10^(LOG(C122)-INT(LOG(C122)))*100),E48_s:E48_f,1),VLOOKUP((10^(LOG(C122)-INT(LOG(C122)))*100),E48_s:E48_f,2)))*10^INT(LOG(C122))/100</f>
        <v>2.37</v>
      </c>
      <c r="D123" s="55" t="s">
        <v>208</v>
      </c>
    </row>
    <row r="124" spans="1:6" ht="18.75" x14ac:dyDescent="0.35">
      <c r="A124" s="55" t="s">
        <v>323</v>
      </c>
      <c r="B124" s="55" t="s">
        <v>182</v>
      </c>
      <c r="C124" s="92">
        <v>2.37</v>
      </c>
      <c r="D124" s="55" t="s">
        <v>208</v>
      </c>
    </row>
    <row r="125" spans="1:6" ht="18.75" x14ac:dyDescent="0.35">
      <c r="A125" s="55" t="s">
        <v>181</v>
      </c>
      <c r="B125" s="55" t="s">
        <v>184</v>
      </c>
      <c r="C125" s="92">
        <v>2.37</v>
      </c>
      <c r="D125" s="55" t="s">
        <v>208</v>
      </c>
    </row>
    <row r="126" spans="1:6" ht="18.75" x14ac:dyDescent="0.35">
      <c r="A126" s="55" t="s">
        <v>183</v>
      </c>
      <c r="B126" s="55" t="s">
        <v>185</v>
      </c>
      <c r="C126" s="61">
        <f>C125*(VOUT-_va1)/_va1</f>
        <v>43.134</v>
      </c>
      <c r="D126" s="55" t="s">
        <v>208</v>
      </c>
    </row>
    <row r="127" spans="1:6" ht="18.75" x14ac:dyDescent="0.35">
      <c r="A127" s="55" t="s">
        <v>295</v>
      </c>
      <c r="B127" s="55" t="s">
        <v>185</v>
      </c>
      <c r="C127" s="61">
        <f>(IF((10^(LOG(C126)-INT(LOG(C126)))*100)-VLOOKUP((10^(LOG(C126)-INT(LOG(C126)))*100),E48_s:E48_f,1)&lt;VLOOKUP((10^(LOG(C126)-INT(LOG(C126)))*100),E48_s:E48_f,2)-(10^(LOG(C126)-INT(LOG(C126)))*100),VLOOKUP((10^(LOG(C126)-INT(LOG(C126)))*100),E48_s:E48_f,1),VLOOKUP((10^(LOG(C126)-INT(LOG(C126)))*100),E48_s:E48_f,2)))*10^INT(LOG(C126))/100</f>
        <v>42.2</v>
      </c>
      <c r="D127" s="55" t="s">
        <v>208</v>
      </c>
    </row>
    <row r="128" spans="1:6" ht="18.75" x14ac:dyDescent="0.35">
      <c r="A128" s="55" t="s">
        <v>323</v>
      </c>
      <c r="B128" s="55" t="s">
        <v>185</v>
      </c>
      <c r="C128" s="92">
        <v>43</v>
      </c>
      <c r="D128" s="55" t="s">
        <v>208</v>
      </c>
    </row>
    <row r="129" spans="1:5" ht="18.75" x14ac:dyDescent="0.35">
      <c r="A129" s="55" t="s">
        <v>280</v>
      </c>
      <c r="B129" s="55" t="s">
        <v>281</v>
      </c>
      <c r="C129" s="61">
        <f>fs/4</f>
        <v>25</v>
      </c>
      <c r="D129" s="55" t="s">
        <v>20</v>
      </c>
    </row>
    <row r="130" spans="1:5" ht="18.75" x14ac:dyDescent="0.35">
      <c r="A130" s="55" t="s">
        <v>187</v>
      </c>
      <c r="B130" s="55" t="s">
        <v>186</v>
      </c>
      <c r="C130" s="61">
        <f>fs/40</f>
        <v>2.5</v>
      </c>
      <c r="D130" s="55" t="s">
        <v>20</v>
      </c>
    </row>
    <row r="131" spans="1:5" ht="18.75" x14ac:dyDescent="0.35">
      <c r="A131" s="55" t="s">
        <v>272</v>
      </c>
      <c r="B131" s="55" t="s">
        <v>188</v>
      </c>
      <c r="C131" s="61">
        <f>(VOUT^2)/(pout*0.1)</f>
        <v>23.04</v>
      </c>
      <c r="D131" s="55" t="s">
        <v>156</v>
      </c>
    </row>
    <row r="132" spans="1:5" hidden="1" x14ac:dyDescent="0.25">
      <c r="A132" s="54" t="s">
        <v>189</v>
      </c>
      <c r="B132" s="54" t="s">
        <v>190</v>
      </c>
      <c r="C132" s="101">
        <f>_ta1*_ta2*(rload/RS)</f>
        <v>299.66310559006206</v>
      </c>
      <c r="D132" s="55" t="s">
        <v>19</v>
      </c>
    </row>
    <row r="133" spans="1:5" hidden="1" x14ac:dyDescent="0.25">
      <c r="A133" s="75" t="s">
        <v>197</v>
      </c>
      <c r="B133" s="54"/>
      <c r="C133" s="101" t="str">
        <f>(COMPLEX(1,2*PI()*fc*1000*esrcout*0.001*cout*0.000001))</f>
        <v>1+0.730420291959627i</v>
      </c>
    </row>
    <row r="134" spans="1:5" hidden="1" x14ac:dyDescent="0.25">
      <c r="A134" s="54" t="s">
        <v>191</v>
      </c>
      <c r="B134" s="54" t="s">
        <v>192</v>
      </c>
      <c r="C134" s="101" t="str">
        <f>IMDIV((COMPLEX(1,2*PI()*fc*1000*esrcout*0.001*cout*0.000001)),(COMPLEX(1,2*PI()*fc*1000*rload*cout*0.000001)))</f>
        <v>0.000224341920315653-0.000306942974472095i</v>
      </c>
    </row>
    <row r="135" spans="1:5" hidden="1" x14ac:dyDescent="0.25">
      <c r="A135" s="54" t="s">
        <v>193</v>
      </c>
      <c r="B135" s="54" t="s">
        <v>193</v>
      </c>
      <c r="C135" s="101" t="str">
        <f>IMDIV(1,(COMPLEX((1-(fc/fpp)^2),(fc/fpp))))</f>
        <v>0.999899000101-0.100999899000101i</v>
      </c>
    </row>
    <row r="136" spans="1:5" hidden="1" x14ac:dyDescent="0.25">
      <c r="A136" s="54" t="s">
        <v>194</v>
      </c>
      <c r="C136" s="101" t="str">
        <f>IMPRODUCT(n1divd1,d2a)</f>
        <v>0.000193318052383887-0.000329570484556044i</v>
      </c>
      <c r="E136" s="54"/>
    </row>
    <row r="137" spans="1:5" hidden="1" x14ac:dyDescent="0.25">
      <c r="A137" s="54" t="s">
        <v>195</v>
      </c>
      <c r="C137" s="101" t="str">
        <f>IMPRODUCT(constant,C136)</f>
        <v>0.0579302879439779-0.0987601149128857i</v>
      </c>
    </row>
    <row r="138" spans="1:5" hidden="1" x14ac:dyDescent="0.25">
      <c r="A138" s="54" t="s">
        <v>196</v>
      </c>
      <c r="B138" s="54" t="s">
        <v>198</v>
      </c>
      <c r="C138" s="101">
        <f>IMABS(C137)</f>
        <v>0.11449663121192072</v>
      </c>
    </row>
    <row r="139" spans="1:5" ht="18.75" x14ac:dyDescent="0.35">
      <c r="A139" s="55" t="s">
        <v>200</v>
      </c>
      <c r="B139" s="55" t="s">
        <v>199</v>
      </c>
      <c r="C139" s="61">
        <f>RII/C138</f>
        <v>375.55690106210818</v>
      </c>
      <c r="D139" s="55" t="s">
        <v>208</v>
      </c>
    </row>
    <row r="140" spans="1:5" ht="18.75" x14ac:dyDescent="0.35">
      <c r="A140" s="55" t="s">
        <v>295</v>
      </c>
      <c r="B140" s="55" t="s">
        <v>199</v>
      </c>
      <c r="C140" s="61">
        <f>(IF((10^(LOG(C139)-INT(LOG(C139)))*100)-VLOOKUP((10^(LOG(C139)-INT(LOG(C139)))*100),E48_s:E48_f,1)&lt;VLOOKUP((10^(LOG(C139)-INT(LOG(C139)))*100),E48_s:E48_f,2)-(10^(LOG(C139)-INT(LOG(C139)))*100),VLOOKUP((10^(LOG(C139)-INT(LOG(C139)))*100),E48_s:E48_f,1),VLOOKUP((10^(LOG(C139)-INT(LOG(C139)))*100),E48_s:E48_f,2)))*10^INT(LOG(C139))/100</f>
        <v>383</v>
      </c>
      <c r="D140" s="55" t="s">
        <v>208</v>
      </c>
    </row>
    <row r="141" spans="1:5" ht="18.75" x14ac:dyDescent="0.35">
      <c r="A141" s="55" t="s">
        <v>323</v>
      </c>
      <c r="B141" s="55" t="s">
        <v>199</v>
      </c>
      <c r="C141" s="92">
        <v>320</v>
      </c>
      <c r="D141" s="55" t="s">
        <v>208</v>
      </c>
    </row>
    <row r="142" spans="1:5" ht="18.75" x14ac:dyDescent="0.35">
      <c r="A142" s="55" t="s">
        <v>204</v>
      </c>
      <c r="B142" s="55" t="s">
        <v>201</v>
      </c>
      <c r="C142" s="61">
        <f>(1/(2*PI()*C141*(fc/5)))*10^3</f>
        <v>0.99471839432434583</v>
      </c>
      <c r="D142" s="55" t="s">
        <v>202</v>
      </c>
      <c r="E142" s="60"/>
    </row>
    <row r="143" spans="1:5" ht="18" customHeight="1" x14ac:dyDescent="0.25">
      <c r="A143" s="55" t="s">
        <v>294</v>
      </c>
      <c r="B143" s="55" t="s">
        <v>210</v>
      </c>
      <c r="C143" s="102">
        <f>IF(C142&lt;10000,C144*10^INT(LOG(C142)),C145*10^INT(LOG(C142)))</f>
        <v>1</v>
      </c>
      <c r="D143" s="55" t="s">
        <v>202</v>
      </c>
    </row>
    <row r="144" spans="1:5" ht="18" hidden="1" customHeight="1" x14ac:dyDescent="0.25">
      <c r="A144" s="54" t="s">
        <v>211</v>
      </c>
      <c r="C144" s="103">
        <f>IF((10^(LOG(C142)-INT(LOG(C142))))-VLOOKUP((10^(LOG(C142)-INT(LOG(C142)))),c_s1:C_f1,1)&lt;VLOOKUP((10^(LOG(C142)-INT(LOG(C142)))),c_s1:C_f1,2)-(10^(LOG(C142)-INT(LOG(C142)))),VLOOKUP((10^(LOG(C142)-INT(LOG(C142)))),c_s1:C_f1,1),VLOOKUP((10^(LOG(C142)-INT(LOG(C142)))),c_s1:C_f1,2))</f>
        <v>10</v>
      </c>
    </row>
    <row r="145" spans="1:5" ht="18" hidden="1" customHeight="1" x14ac:dyDescent="0.25">
      <c r="A145" s="54" t="s">
        <v>212</v>
      </c>
      <c r="C145" s="103">
        <f>IF((10^(LOG(C142)-INT(LOG(C142))))-VLOOKUP((10^(LOG(C142)-INT(LOG(C142)))),C_s2:C_f2,1)&lt;VLOOKUP((10^(LOG(C142)-INT(LOG(C142)))),C_s2:C_f2,2)-(10^(LOG(C142)-INT(LOG(C142)))),VLOOKUP((10^(LOG(C142)-INT(LOG(C142)))),C_s2:C_f2,1),VLOOKUP((10^(LOG(C142)-INT(LOG(C142)))),C_s2:C_f2,2))</f>
        <v>10</v>
      </c>
    </row>
    <row r="146" spans="1:5" ht="18.75" x14ac:dyDescent="0.35">
      <c r="A146" s="55" t="s">
        <v>325</v>
      </c>
      <c r="B146" s="55" t="s">
        <v>201</v>
      </c>
      <c r="C146" s="92">
        <v>1</v>
      </c>
      <c r="D146" s="55" t="s">
        <v>202</v>
      </c>
    </row>
    <row r="147" spans="1:5" ht="18.75" x14ac:dyDescent="0.35">
      <c r="A147" s="64" t="s">
        <v>203</v>
      </c>
      <c r="B147" s="64" t="s">
        <v>209</v>
      </c>
      <c r="C147" s="93">
        <f>1000000/(2*PI()*rf*fc*2)</f>
        <v>99.471839432434578</v>
      </c>
      <c r="D147" s="55" t="s">
        <v>62</v>
      </c>
      <c r="E147" s="65" t="s">
        <v>19</v>
      </c>
    </row>
    <row r="148" spans="1:5" ht="18.75" x14ac:dyDescent="0.35">
      <c r="A148" s="55" t="s">
        <v>294</v>
      </c>
      <c r="B148" s="64" t="s">
        <v>209</v>
      </c>
      <c r="C148" s="102">
        <f>IF(C147&lt;10000,C149*10^INT(LOG(C147)),C150*10^INT(LOG(C147)))</f>
        <v>100</v>
      </c>
      <c r="D148" s="55" t="s">
        <v>62</v>
      </c>
      <c r="E148" s="63"/>
    </row>
    <row r="149" spans="1:5" hidden="1" x14ac:dyDescent="0.25">
      <c r="A149" s="54" t="s">
        <v>211</v>
      </c>
      <c r="B149" s="66"/>
      <c r="C149" s="103">
        <f>IF((10^(LOG(C147)-INT(LOG(C147))))-VLOOKUP((10^(LOG(C147)-INT(LOG(C147)))),c_s1:C_f1,1)&lt;VLOOKUP((10^(LOG(C147)-INT(LOG(C147)))),c_s1:C_f1,2)-(10^(LOG(C147)-INT(LOG(C147)))),VLOOKUP((10^(LOG(C147)-INT(LOG(C147)))),c_s1:C_f1,1),VLOOKUP((10^(LOG(C147)-INT(LOG(C147)))),c_s1:C_f1,2))</f>
        <v>10</v>
      </c>
    </row>
    <row r="150" spans="1:5" hidden="1" x14ac:dyDescent="0.25">
      <c r="A150" s="54" t="s">
        <v>212</v>
      </c>
      <c r="B150" s="66"/>
      <c r="C150" s="103">
        <f>IF((10^(LOG(C147)-INT(LOG(C147))))-VLOOKUP((10^(LOG(C147)-INT(LOG(C147)))),C_s2:C_f2,1)&lt;VLOOKUP((10^(LOG(C147)-INT(LOG(C147)))),C_s2:C_f2,2)-(10^(LOG(C147)-INT(LOG(C147)))),VLOOKUP((10^(LOG(C147)-INT(LOG(C147)))),C_s2:C_f2,1),VLOOKUP((10^(LOG(C147)-INT(LOG(C147)))),C_s2:C_f2,2))</f>
        <v>10</v>
      </c>
    </row>
    <row r="151" spans="1:5" ht="18.75" x14ac:dyDescent="0.35">
      <c r="A151" s="55" t="s">
        <v>325</v>
      </c>
      <c r="B151" s="55" t="s">
        <v>209</v>
      </c>
      <c r="C151" s="92">
        <v>100</v>
      </c>
      <c r="D151" s="55" t="s">
        <v>62</v>
      </c>
    </row>
    <row r="152" spans="1:5" x14ac:dyDescent="0.25">
      <c r="C152" s="92"/>
    </row>
    <row r="153" spans="1:5" x14ac:dyDescent="0.25">
      <c r="C153" s="92"/>
    </row>
    <row r="154" spans="1:5" x14ac:dyDescent="0.25">
      <c r="C154" s="92"/>
    </row>
    <row r="155" spans="1:5" x14ac:dyDescent="0.25">
      <c r="C155" s="92"/>
    </row>
    <row r="156" spans="1:5" x14ac:dyDescent="0.25">
      <c r="C156" s="92"/>
    </row>
    <row r="157" spans="1:5" x14ac:dyDescent="0.25">
      <c r="C157" s="92"/>
    </row>
    <row r="158" spans="1:5" x14ac:dyDescent="0.25">
      <c r="C158" s="92"/>
    </row>
    <row r="159" spans="1:5" x14ac:dyDescent="0.25">
      <c r="C159" s="92"/>
    </row>
    <row r="160" spans="1:5" x14ac:dyDescent="0.25">
      <c r="C160" s="92"/>
    </row>
    <row r="161" spans="1:6" x14ac:dyDescent="0.25">
      <c r="C161" s="92"/>
    </row>
    <row r="162" spans="1:6" x14ac:dyDescent="0.25">
      <c r="C162" s="92"/>
    </row>
    <row r="163" spans="1:6" x14ac:dyDescent="0.25">
      <c r="C163" s="92"/>
    </row>
    <row r="164" spans="1:6" x14ac:dyDescent="0.25">
      <c r="C164" s="92"/>
    </row>
    <row r="165" spans="1:6" x14ac:dyDescent="0.25">
      <c r="C165" s="92"/>
    </row>
    <row r="166" spans="1:6" x14ac:dyDescent="0.25">
      <c r="C166" s="92"/>
    </row>
    <row r="167" spans="1:6" x14ac:dyDescent="0.25">
      <c r="C167" s="92"/>
    </row>
    <row r="168" spans="1:6" x14ac:dyDescent="0.25">
      <c r="C168" s="92"/>
    </row>
    <row r="169" spans="1:6" x14ac:dyDescent="0.25">
      <c r="C169" s="92"/>
    </row>
    <row r="170" spans="1:6" x14ac:dyDescent="0.25">
      <c r="C170" s="92"/>
    </row>
    <row r="171" spans="1:6" x14ac:dyDescent="0.25">
      <c r="C171" s="92"/>
    </row>
    <row r="172" spans="1:6" x14ac:dyDescent="0.25">
      <c r="C172" s="92"/>
    </row>
    <row r="173" spans="1:6" ht="18.75" x14ac:dyDescent="0.35">
      <c r="A173" s="80" t="s">
        <v>288</v>
      </c>
      <c r="B173" s="59"/>
      <c r="C173" s="100"/>
      <c r="D173" s="59"/>
      <c r="E173" s="80" t="s">
        <v>19</v>
      </c>
      <c r="F173" s="80"/>
    </row>
    <row r="174" spans="1:6" ht="18.75" x14ac:dyDescent="0.35">
      <c r="A174" s="64" t="s">
        <v>214</v>
      </c>
      <c r="B174" s="64" t="s">
        <v>213</v>
      </c>
      <c r="C174" s="92">
        <v>15</v>
      </c>
      <c r="D174" s="55" t="s">
        <v>215</v>
      </c>
    </row>
    <row r="175" spans="1:6" ht="18.75" x14ac:dyDescent="0.35">
      <c r="A175" s="64" t="s">
        <v>273</v>
      </c>
      <c r="B175" s="64" t="s">
        <v>216</v>
      </c>
      <c r="C175" s="93">
        <f>(C174)*(25)/(_va1+0.55)</f>
        <v>122.95081967213116</v>
      </c>
      <c r="D175" s="55" t="s">
        <v>202</v>
      </c>
    </row>
    <row r="176" spans="1:6" ht="18.75" x14ac:dyDescent="0.35">
      <c r="A176" s="55" t="s">
        <v>294</v>
      </c>
      <c r="B176" s="64" t="s">
        <v>216</v>
      </c>
      <c r="C176" s="102">
        <f>IF(C175&lt;10000,C177*10^INT(LOG(C175)),C178*10^INT(LOG(C175)))</f>
        <v>120</v>
      </c>
      <c r="D176" s="55" t="s">
        <v>202</v>
      </c>
    </row>
    <row r="177" spans="1:6" hidden="1" x14ac:dyDescent="0.25">
      <c r="A177" s="54" t="s">
        <v>211</v>
      </c>
      <c r="B177" s="66"/>
      <c r="C177" s="103">
        <f>IF((10^(LOG(C175)-INT(LOG(C175))))-VLOOKUP((10^(LOG(C175)-INT(LOG(C175)))),c_s1:C_f1,1)&lt;VLOOKUP((10^(LOG(C175)-INT(LOG(C175)))),c_s1:C_f1,2)-(10^(LOG(C175)-INT(LOG(C175)))),VLOOKUP((10^(LOG(C175)-INT(LOG(C175)))),c_s1:C_f1,1),VLOOKUP((10^(LOG(C175)-INT(LOG(C175)))),c_s1:C_f1,2))</f>
        <v>1.2</v>
      </c>
    </row>
    <row r="178" spans="1:6" hidden="1" x14ac:dyDescent="0.25">
      <c r="A178" s="54" t="s">
        <v>217</v>
      </c>
      <c r="B178" s="66"/>
      <c r="C178" s="103">
        <f>IF((10^(LOG(C175)-INT(LOG(C175))))-VLOOKUP((10^(LOG(C175)-INT(LOG(C175)))),C_s2:C_f2,1)&lt;VLOOKUP((10^(LOG(C175)-INT(LOG(C175)))),C_s2:C_f2,2)-(10^(LOG(C175)-INT(LOG(C175)))),VLOOKUP((10^(LOG(C175)-INT(LOG(C175)))),C_s2:C_f2,1),VLOOKUP((10^(LOG(C175)-INT(LOG(C175)))),C_s2:C_f2,2))</f>
        <v>1</v>
      </c>
    </row>
    <row r="179" spans="1:6" ht="18.75" x14ac:dyDescent="0.35">
      <c r="A179" s="55" t="s">
        <v>325</v>
      </c>
      <c r="B179" s="55" t="s">
        <v>216</v>
      </c>
      <c r="C179" s="92">
        <v>130</v>
      </c>
      <c r="D179" s="55" t="s">
        <v>202</v>
      </c>
    </row>
    <row r="180" spans="1:6" ht="18.75" x14ac:dyDescent="0.35">
      <c r="A180" s="80" t="s">
        <v>313</v>
      </c>
      <c r="B180" s="59"/>
      <c r="C180" s="100"/>
      <c r="D180" s="59"/>
      <c r="E180" s="80" t="s">
        <v>19</v>
      </c>
      <c r="F180" s="80"/>
    </row>
    <row r="181" spans="1:6" ht="18.75" x14ac:dyDescent="0.35">
      <c r="A181" s="64" t="s">
        <v>274</v>
      </c>
      <c r="B181" s="64" t="s">
        <v>218</v>
      </c>
      <c r="C181" s="93">
        <f>tdelay</f>
        <v>135.65127830691569</v>
      </c>
      <c r="D181" s="55" t="s">
        <v>132</v>
      </c>
    </row>
    <row r="182" spans="1:6" ht="18.75" x14ac:dyDescent="0.35">
      <c r="A182" s="64" t="s">
        <v>312</v>
      </c>
      <c r="B182" s="64" t="s">
        <v>218</v>
      </c>
      <c r="C182" s="92">
        <v>120</v>
      </c>
      <c r="D182" s="55" t="s">
        <v>132</v>
      </c>
    </row>
    <row r="183" spans="1:6" ht="18.75" x14ac:dyDescent="0.35">
      <c r="A183" s="64" t="s">
        <v>307</v>
      </c>
      <c r="B183" s="64" t="s">
        <v>304</v>
      </c>
      <c r="C183" s="92">
        <v>8.25</v>
      </c>
      <c r="D183" s="55" t="s">
        <v>208</v>
      </c>
    </row>
    <row r="184" spans="1:6" ht="18.75" x14ac:dyDescent="0.35">
      <c r="A184" s="64" t="s">
        <v>306</v>
      </c>
      <c r="B184" s="64" t="s">
        <v>305</v>
      </c>
      <c r="C184" s="93">
        <f>IF(tabset&gt;155, 0.2, 1.8)</f>
        <v>1.8</v>
      </c>
      <c r="D184" s="55" t="s">
        <v>17</v>
      </c>
    </row>
    <row r="185" spans="1:6" ht="18.75" x14ac:dyDescent="0.35">
      <c r="A185" s="64" t="s">
        <v>308</v>
      </c>
      <c r="B185" s="64" t="s">
        <v>309</v>
      </c>
      <c r="C185" s="93">
        <f>C183*C184/(5-C184)</f>
        <v>4.640625</v>
      </c>
      <c r="D185" s="55" t="s">
        <v>208</v>
      </c>
    </row>
    <row r="186" spans="1:6" ht="18.75" x14ac:dyDescent="0.35">
      <c r="A186" s="55" t="s">
        <v>295</v>
      </c>
      <c r="B186" s="64" t="s">
        <v>309</v>
      </c>
      <c r="C186" s="61">
        <f>(IF((10^(LOG(C185)-INT(LOG(C185)))*100)-VLOOKUP((10^(LOG(C185)-INT(LOG(C185)))*100),E48_s:E48_f,1)&lt;VLOOKUP((10^(LOG(C185)-INT(LOG(C185)))*100),E48_s:E48_f,2)-(10^(LOG(C185)-INT(LOG(C185)))*100),VLOOKUP((10^(LOG(C185)-INT(LOG(C185)))*100),E48_s:E48_f,1),VLOOKUP((10^(LOG(C185)-INT(LOG(C185)))*100),E48_s:E48_f,2)))*10^INT(LOG(C185))/100</f>
        <v>4.6399999999999997</v>
      </c>
      <c r="D186" s="55" t="s">
        <v>208</v>
      </c>
    </row>
    <row r="187" spans="1:6" ht="18.75" x14ac:dyDescent="0.35">
      <c r="A187" s="64" t="s">
        <v>310</v>
      </c>
      <c r="B187" s="64" t="s">
        <v>309</v>
      </c>
      <c r="C187" s="92">
        <v>4.7</v>
      </c>
      <c r="D187" s="55" t="s">
        <v>208</v>
      </c>
    </row>
    <row r="188" spans="1:6" ht="18.75" x14ac:dyDescent="0.35">
      <c r="A188" s="64" t="s">
        <v>311</v>
      </c>
      <c r="B188" s="64" t="s">
        <v>305</v>
      </c>
      <c r="C188" s="93">
        <f>5*C187/(C183+C187)</f>
        <v>1.8146718146718148</v>
      </c>
      <c r="D188" s="55" t="s">
        <v>17</v>
      </c>
    </row>
    <row r="189" spans="1:6" ht="18.75" x14ac:dyDescent="0.35">
      <c r="A189" s="55" t="s">
        <v>275</v>
      </c>
      <c r="B189" s="64" t="s">
        <v>219</v>
      </c>
      <c r="C189" s="93">
        <f>(tabset-5)*(0.15+(C188*1.46))/5</f>
        <v>64.386679536679537</v>
      </c>
      <c r="D189" s="55" t="s">
        <v>208</v>
      </c>
    </row>
    <row r="190" spans="1:6" ht="18.75" x14ac:dyDescent="0.35">
      <c r="A190" s="55" t="s">
        <v>295</v>
      </c>
      <c r="B190" s="64" t="s">
        <v>219</v>
      </c>
      <c r="C190" s="61">
        <f>(IF((10^(LOG(C189)-INT(LOG(C189)))*100)-VLOOKUP((10^(LOG(C189)-INT(LOG(C189)))*100),E48_s:E48_f,1)&lt;VLOOKUP((10^(LOG(C189)-INT(LOG(C189)))*100),E48_s:E48_f,2)-(10^(LOG(C189)-INT(LOG(C189)))*100),VLOOKUP((10^(LOG(C189)-INT(LOG(C189)))*100),E48_s:E48_f,1),VLOOKUP((10^(LOG(C189)-INT(LOG(C189)))*100),E48_s:E48_f,2)))*10^INT(LOG(C189))/100</f>
        <v>64.900000000000006</v>
      </c>
      <c r="D190" s="55" t="s">
        <v>208</v>
      </c>
    </row>
    <row r="191" spans="1:6" ht="18.75" x14ac:dyDescent="0.35">
      <c r="A191" s="55" t="s">
        <v>326</v>
      </c>
      <c r="B191" s="64" t="s">
        <v>219</v>
      </c>
      <c r="C191" s="92">
        <v>68</v>
      </c>
      <c r="D191" s="55" t="s">
        <v>208</v>
      </c>
    </row>
    <row r="192" spans="1:6" ht="18.75" x14ac:dyDescent="0.35">
      <c r="A192" s="80" t="s">
        <v>314</v>
      </c>
      <c r="B192" s="59"/>
      <c r="C192" s="100"/>
      <c r="D192" s="59"/>
      <c r="E192" s="80" t="s">
        <v>19</v>
      </c>
      <c r="F192" s="80"/>
    </row>
    <row r="193" spans="1:6" ht="18.75" x14ac:dyDescent="0.35">
      <c r="A193" s="55" t="s">
        <v>276</v>
      </c>
      <c r="B193" s="64" t="s">
        <v>221</v>
      </c>
      <c r="C193" s="93">
        <f>tdelay</f>
        <v>135.65127830691569</v>
      </c>
      <c r="D193" s="55" t="s">
        <v>132</v>
      </c>
    </row>
    <row r="194" spans="1:6" ht="18.75" x14ac:dyDescent="0.35">
      <c r="A194" s="64" t="s">
        <v>312</v>
      </c>
      <c r="B194" s="64" t="s">
        <v>221</v>
      </c>
      <c r="C194" s="92">
        <v>120</v>
      </c>
      <c r="D194" s="55" t="s">
        <v>132</v>
      </c>
    </row>
    <row r="195" spans="1:6" ht="18.75" x14ac:dyDescent="0.35">
      <c r="A195" s="55" t="s">
        <v>275</v>
      </c>
      <c r="B195" s="64" t="s">
        <v>220</v>
      </c>
      <c r="C195" s="93">
        <f>(tcdset-5)*(0.15+(vadel*1.46))/5</f>
        <v>64.386679536679537</v>
      </c>
      <c r="D195" s="55" t="s">
        <v>208</v>
      </c>
    </row>
    <row r="196" spans="1:6" ht="18.75" x14ac:dyDescent="0.35">
      <c r="A196" s="55" t="s">
        <v>295</v>
      </c>
      <c r="B196" s="64" t="s">
        <v>220</v>
      </c>
      <c r="C196" s="61">
        <f>(IF((10^(LOG(C195)-INT(LOG(C195)))*100)-VLOOKUP((10^(LOG(C195)-INT(LOG(C195)))*100),E48_s:E48_f,1)&lt;VLOOKUP((10^(LOG(C195)-INT(LOG(C195)))*100),E48_s:E48_f,2)-(10^(LOG(C195)-INT(LOG(C195)))*100),VLOOKUP((10^(LOG(C195)-INT(LOG(C195)))*100),E48_s:E48_f,1),VLOOKUP((10^(LOG(C195)-INT(LOG(C195)))*100),E48_s:E48_f,2)))*10^INT(LOG(C195))/100</f>
        <v>64.900000000000006</v>
      </c>
      <c r="D196" s="55" t="s">
        <v>208</v>
      </c>
    </row>
    <row r="197" spans="1:6" ht="18.75" x14ac:dyDescent="0.35">
      <c r="A197" s="55" t="s">
        <v>326</v>
      </c>
      <c r="B197" s="64" t="s">
        <v>220</v>
      </c>
      <c r="C197" s="92">
        <v>68</v>
      </c>
      <c r="D197" s="55" t="s">
        <v>208</v>
      </c>
    </row>
    <row r="198" spans="1:6" ht="18.75" x14ac:dyDescent="0.35">
      <c r="A198" s="80" t="s">
        <v>324</v>
      </c>
      <c r="B198" s="59"/>
      <c r="C198" s="100"/>
      <c r="D198" s="59"/>
      <c r="E198" s="80" t="s">
        <v>19</v>
      </c>
      <c r="F198" s="80"/>
    </row>
    <row r="199" spans="1:6" ht="18.75" x14ac:dyDescent="0.35">
      <c r="A199" s="55" t="s">
        <v>222</v>
      </c>
      <c r="B199" s="55" t="s">
        <v>321</v>
      </c>
      <c r="C199" s="61">
        <f>C182/2</f>
        <v>60</v>
      </c>
      <c r="D199" s="55" t="s">
        <v>132</v>
      </c>
    </row>
    <row r="200" spans="1:6" ht="18.75" x14ac:dyDescent="0.35">
      <c r="A200" s="55" t="s">
        <v>322</v>
      </c>
      <c r="B200" s="55" t="s">
        <v>321</v>
      </c>
      <c r="C200" s="92">
        <v>60</v>
      </c>
      <c r="D200" s="55" t="s">
        <v>132</v>
      </c>
    </row>
    <row r="201" spans="1:6" ht="18.75" x14ac:dyDescent="0.35">
      <c r="A201" s="64" t="s">
        <v>316</v>
      </c>
      <c r="B201" s="55" t="s">
        <v>315</v>
      </c>
      <c r="C201" s="92">
        <v>8.25</v>
      </c>
      <c r="D201" s="55" t="s">
        <v>208</v>
      </c>
    </row>
    <row r="202" spans="1:6" ht="18.75" x14ac:dyDescent="0.35">
      <c r="A202" s="64" t="s">
        <v>319</v>
      </c>
      <c r="B202" s="55" t="s">
        <v>320</v>
      </c>
      <c r="C202" s="93">
        <f>IF(tafset&lt;170, 0.2,1.7)</f>
        <v>0.2</v>
      </c>
      <c r="D202" s="55" t="s">
        <v>17</v>
      </c>
    </row>
    <row r="203" spans="1:6" ht="18.75" x14ac:dyDescent="0.35">
      <c r="A203" s="64" t="s">
        <v>317</v>
      </c>
      <c r="B203" s="55" t="s">
        <v>318</v>
      </c>
      <c r="C203" s="93">
        <f>C202*C201/(5-C202)</f>
        <v>0.34375000000000006</v>
      </c>
      <c r="D203" s="55" t="s">
        <v>208</v>
      </c>
    </row>
    <row r="204" spans="1:6" ht="18.75" x14ac:dyDescent="0.35">
      <c r="A204" s="55" t="s">
        <v>295</v>
      </c>
      <c r="B204" s="55" t="s">
        <v>318</v>
      </c>
      <c r="C204" s="61">
        <f>(IF((10^(LOG(C203)-INT(LOG(C203)))*100)-VLOOKUP((10^(LOG(C203)-INT(LOG(C203)))*100),E48_s:E48_f,1)&lt;VLOOKUP((10^(LOG(C203)-INT(LOG(C203)))*100),E48_s:E48_f,2)-(10^(LOG(C203)-INT(LOG(C203)))*100),VLOOKUP((10^(LOG(C203)-INT(LOG(C203)))*100),E48_s:E48_f,1),VLOOKUP((10^(LOG(C203)-INT(LOG(C203)))*100),E48_s:E48_f,2)))*10^INT(LOG(C203))/100</f>
        <v>0.34800000000000003</v>
      </c>
      <c r="D204" s="55" t="s">
        <v>208</v>
      </c>
    </row>
    <row r="205" spans="1:6" ht="18.75" x14ac:dyDescent="0.35">
      <c r="A205" s="55" t="s">
        <v>323</v>
      </c>
      <c r="B205" s="55" t="s">
        <v>318</v>
      </c>
      <c r="C205" s="92">
        <v>0.36</v>
      </c>
      <c r="D205" s="55" t="s">
        <v>208</v>
      </c>
    </row>
    <row r="206" spans="1:6" ht="18.75" x14ac:dyDescent="0.35">
      <c r="A206" s="64" t="s">
        <v>319</v>
      </c>
      <c r="B206" s="55" t="s">
        <v>320</v>
      </c>
      <c r="C206" s="61">
        <f>5*C205/(C205+C201)</f>
        <v>0.20905923344947736</v>
      </c>
      <c r="D206" s="55" t="s">
        <v>17</v>
      </c>
    </row>
    <row r="207" spans="1:6" ht="18.75" x14ac:dyDescent="0.35">
      <c r="A207" s="55" t="s">
        <v>275</v>
      </c>
      <c r="B207" s="64" t="s">
        <v>223</v>
      </c>
      <c r="C207" s="93">
        <f>(tafset-4)*(2.65-(C206*1.32))/5</f>
        <v>26.589268292682924</v>
      </c>
      <c r="D207" s="55" t="s">
        <v>208</v>
      </c>
    </row>
    <row r="208" spans="1:6" ht="18.75" x14ac:dyDescent="0.35">
      <c r="A208" s="55" t="s">
        <v>295</v>
      </c>
      <c r="B208" s="64" t="s">
        <v>223</v>
      </c>
      <c r="C208" s="61">
        <f>(IF((10^(LOG(C207)-INT(LOG(C207)))*100)-VLOOKUP((10^(LOG(C207)-INT(LOG(C207)))*100),E48_s:E48_f,1)&lt;VLOOKUP((10^(LOG(C207)-INT(LOG(C207)))*100),E48_s:E48_f,2)-(10^(LOG(C207)-INT(LOG(C207)))*100),VLOOKUP((10^(LOG(C207)-INT(LOG(C207)))*100),E48_s:E48_f,1),VLOOKUP((10^(LOG(C207)-INT(LOG(C207)))*100),E48_s:E48_f,2)))*10^INT(LOG(C207))/100</f>
        <v>26.1</v>
      </c>
      <c r="D208" s="55" t="s">
        <v>208</v>
      </c>
    </row>
    <row r="209" spans="1:6" ht="18.75" x14ac:dyDescent="0.35">
      <c r="A209" s="55" t="s">
        <v>327</v>
      </c>
      <c r="B209" s="64" t="s">
        <v>223</v>
      </c>
      <c r="C209" s="92">
        <v>30</v>
      </c>
      <c r="D209" s="55" t="s">
        <v>208</v>
      </c>
    </row>
    <row r="210" spans="1:6" x14ac:dyDescent="0.25">
      <c r="A210" s="80" t="s">
        <v>224</v>
      </c>
      <c r="B210" s="68"/>
      <c r="C210" s="100"/>
      <c r="D210" s="59"/>
      <c r="E210" s="80" t="s">
        <v>19</v>
      </c>
      <c r="F210" s="80"/>
    </row>
    <row r="211" spans="1:6" ht="18.75" x14ac:dyDescent="0.35">
      <c r="A211" s="55" t="s">
        <v>225</v>
      </c>
      <c r="B211" s="55" t="s">
        <v>226</v>
      </c>
      <c r="C211" s="92">
        <v>90</v>
      </c>
      <c r="D211" s="55" t="s">
        <v>132</v>
      </c>
    </row>
    <row r="212" spans="1:6" ht="18.75" x14ac:dyDescent="0.35">
      <c r="A212" s="55" t="s">
        <v>228</v>
      </c>
      <c r="B212" s="55" t="s">
        <v>227</v>
      </c>
      <c r="C212" s="61">
        <f>(C211-15)/6.6</f>
        <v>11.363636363636365</v>
      </c>
      <c r="D212" s="55" t="s">
        <v>208</v>
      </c>
    </row>
    <row r="213" spans="1:6" ht="18.75" x14ac:dyDescent="0.35">
      <c r="A213" s="55" t="s">
        <v>295</v>
      </c>
      <c r="B213" s="55" t="s">
        <v>227</v>
      </c>
      <c r="C213" s="61">
        <f>(IF((10^(LOG(C212)-INT(LOG(C212)))*100)-VLOOKUP((10^(LOG(C212)-INT(LOG(C212)))*100),E48_s:E48_f,1)&lt;VLOOKUP((10^(LOG(C212)-INT(LOG(C212)))*100),E48_s:E48_f,2)-(10^(LOG(C212)-INT(LOG(C212)))*100),VLOOKUP((10^(LOG(C212)-INT(LOG(C212)))*100),E48_s:E48_f,1),VLOOKUP((10^(LOG(C212)-INT(LOG(C212)))*100),E48_s:E48_f,2)))*10^INT(LOG(C212))/100</f>
        <v>11.5</v>
      </c>
      <c r="D213" s="55" t="s">
        <v>208</v>
      </c>
    </row>
    <row r="214" spans="1:6" ht="18.75" x14ac:dyDescent="0.35">
      <c r="A214" s="55" t="s">
        <v>323</v>
      </c>
      <c r="B214" s="55" t="s">
        <v>227</v>
      </c>
      <c r="C214" s="92">
        <v>12</v>
      </c>
      <c r="D214" s="55" t="s">
        <v>208</v>
      </c>
    </row>
    <row r="215" spans="1:6" x14ac:dyDescent="0.25">
      <c r="A215" s="80" t="s">
        <v>229</v>
      </c>
      <c r="B215" s="68"/>
      <c r="C215" s="100"/>
      <c r="D215" s="59"/>
      <c r="E215" s="80" t="s">
        <v>19</v>
      </c>
      <c r="F215" s="80"/>
    </row>
    <row r="216" spans="1:6" ht="18.75" x14ac:dyDescent="0.35">
      <c r="A216" s="55" t="s">
        <v>230</v>
      </c>
      <c r="B216" s="55" t="s">
        <v>231</v>
      </c>
      <c r="C216" s="61">
        <f>(((2.5*10^3)/(fs/2))-1)*2.5</f>
        <v>122.5</v>
      </c>
      <c r="D216" s="55" t="s">
        <v>208</v>
      </c>
      <c r="E216" s="55" t="s">
        <v>19</v>
      </c>
    </row>
    <row r="217" spans="1:6" ht="18.75" x14ac:dyDescent="0.35">
      <c r="A217" s="55" t="s">
        <v>295</v>
      </c>
      <c r="B217" s="55" t="s">
        <v>231</v>
      </c>
      <c r="C217" s="61">
        <f>(IF((10^(LOG(C216)-INT(LOG(C216)))*100)-VLOOKUP((10^(LOG(C216)-INT(LOG(C216)))*100),E48_s:E48_f,1)&lt;VLOOKUP((10^(LOG(C216)-INT(LOG(C216)))*100),E48_s:E48_f,2)-(10^(LOG(C216)-INT(LOG(C216)))*100),VLOOKUP((10^(LOG(C216)-INT(LOG(C216)))*100),E48_s:E48_f,1),VLOOKUP((10^(LOG(C216)-INT(LOG(C216)))*100),E48_s:E48_f,2)))*10^INT(LOG(C216))/100</f>
        <v>121</v>
      </c>
      <c r="D217" s="55" t="s">
        <v>208</v>
      </c>
    </row>
    <row r="218" spans="1:6" ht="18.75" x14ac:dyDescent="0.35">
      <c r="A218" s="55" t="s">
        <v>323</v>
      </c>
      <c r="B218" s="55" t="s">
        <v>231</v>
      </c>
      <c r="C218" s="92">
        <v>60</v>
      </c>
      <c r="D218" s="55" t="s">
        <v>208</v>
      </c>
    </row>
    <row r="219" spans="1:6" x14ac:dyDescent="0.25">
      <c r="A219" s="80" t="s">
        <v>232</v>
      </c>
      <c r="B219" s="68"/>
      <c r="C219" s="100"/>
      <c r="D219" s="59"/>
      <c r="E219" s="80" t="s">
        <v>19</v>
      </c>
      <c r="F219" s="80"/>
    </row>
    <row r="220" spans="1:6" ht="18.75" x14ac:dyDescent="0.35">
      <c r="A220" s="55" t="s">
        <v>277</v>
      </c>
      <c r="B220" s="55" t="s">
        <v>44</v>
      </c>
      <c r="C220" s="61">
        <f>(vin*(1-dtyp))/(lmag2*fs)</f>
        <v>0.6995156132430399</v>
      </c>
      <c r="D220" s="55" t="s">
        <v>34</v>
      </c>
    </row>
    <row r="221" spans="1:6" ht="18.75" x14ac:dyDescent="0.35">
      <c r="A221" s="55" t="s">
        <v>334</v>
      </c>
      <c r="B221" s="55" t="s">
        <v>332</v>
      </c>
      <c r="C221" s="61">
        <f>fs*0.2*0.001</f>
        <v>0.02</v>
      </c>
      <c r="D221" s="55" t="s">
        <v>233</v>
      </c>
    </row>
    <row r="222" spans="1:6" ht="18.75" x14ac:dyDescent="0.35">
      <c r="A222" s="55" t="s">
        <v>335</v>
      </c>
      <c r="B222" s="55" t="s">
        <v>333</v>
      </c>
      <c r="C222" s="61">
        <f>((((dilout/(_taa1*2))-C220)*RS*(1-dtyp)*fs)/_ta2)*0.001</f>
        <v>-6.5950950882409911E-5</v>
      </c>
      <c r="D222" s="55" t="s">
        <v>233</v>
      </c>
      <c r="E222" s="55" t="s">
        <v>19</v>
      </c>
    </row>
    <row r="223" spans="1:6" ht="18.75" x14ac:dyDescent="0.35">
      <c r="A223" s="55" t="s">
        <v>234</v>
      </c>
      <c r="B223" s="55" t="s">
        <v>235</v>
      </c>
      <c r="C223" s="93">
        <f>IF(Vslope1&gt;Vslope2, Vslope1, Vslope2)</f>
        <v>0.02</v>
      </c>
      <c r="D223" s="55" t="s">
        <v>233</v>
      </c>
      <c r="E223" s="55" t="s">
        <v>19</v>
      </c>
    </row>
    <row r="224" spans="1:6" ht="18.75" x14ac:dyDescent="0.35">
      <c r="A224" s="55" t="s">
        <v>236</v>
      </c>
      <c r="B224" s="55" t="s">
        <v>237</v>
      </c>
      <c r="C224" s="61">
        <f>2.5/(C223*0.5)</f>
        <v>250</v>
      </c>
      <c r="D224" s="55" t="s">
        <v>208</v>
      </c>
      <c r="E224" s="60"/>
    </row>
    <row r="225" spans="1:6" ht="18.75" x14ac:dyDescent="0.35">
      <c r="A225" s="55" t="s">
        <v>295</v>
      </c>
      <c r="B225" s="55" t="s">
        <v>237</v>
      </c>
      <c r="C225" s="104">
        <f>(IF((10^(LOG(C224)-INT(LOG(C224)))*100)-VLOOKUP((10^(LOG(C224)-INT(LOG(C224)))*100),E48_s:E48_f,1)&lt;VLOOKUP((10^(LOG(C224)-INT(LOG(C224)))*100),E48_s:E48_f,2)-(10^(LOG(C224)-INT(LOG(C224)))*100),VLOOKUP((10^(LOG(C224)-INT(LOG(C224)))*100),E48_s:E48_f,1),VLOOKUP((10^(LOG(C224)-INT(LOG(C224)))*100),E48_s:E48_f,2)))*10^INT(LOG(C224))/100</f>
        <v>249</v>
      </c>
      <c r="D225" s="55" t="s">
        <v>208</v>
      </c>
    </row>
    <row r="226" spans="1:6" ht="18.75" x14ac:dyDescent="0.35">
      <c r="A226" s="55" t="s">
        <v>323</v>
      </c>
      <c r="B226" s="55" t="s">
        <v>237</v>
      </c>
      <c r="C226" s="92">
        <v>250</v>
      </c>
      <c r="D226" s="55" t="s">
        <v>208</v>
      </c>
    </row>
    <row r="227" spans="1:6" x14ac:dyDescent="0.25">
      <c r="A227" s="80" t="s">
        <v>278</v>
      </c>
      <c r="B227" s="68"/>
      <c r="C227" s="100"/>
      <c r="D227" s="59"/>
      <c r="E227" s="80" t="s">
        <v>19</v>
      </c>
      <c r="F227" s="80"/>
    </row>
    <row r="228" spans="1:6" ht="18.75" x14ac:dyDescent="0.35">
      <c r="A228" s="55" t="s">
        <v>238</v>
      </c>
      <c r="B228" s="55" t="s">
        <v>239</v>
      </c>
      <c r="C228" s="61">
        <f>(((pout*0.15/VOUT)+(dilout/2))*RS)/(_ta1*_ta2)</f>
        <v>0.40044969754855142</v>
      </c>
      <c r="D228" s="55" t="s">
        <v>17</v>
      </c>
    </row>
    <row r="229" spans="1:6" ht="18.75" x14ac:dyDescent="0.35">
      <c r="A229" s="55" t="s">
        <v>181</v>
      </c>
      <c r="B229" s="55" t="s">
        <v>240</v>
      </c>
      <c r="C229" s="92">
        <v>1</v>
      </c>
      <c r="D229" s="55" t="s">
        <v>208</v>
      </c>
    </row>
    <row r="230" spans="1:6" ht="18.75" x14ac:dyDescent="0.35">
      <c r="A230" s="55" t="s">
        <v>242</v>
      </c>
      <c r="B230" s="55" t="s">
        <v>241</v>
      </c>
      <c r="C230" s="61">
        <f>(C229*(5-C228)/C228)</f>
        <v>11.485962732919255</v>
      </c>
      <c r="D230" s="55" t="s">
        <v>208</v>
      </c>
    </row>
    <row r="231" spans="1:6" ht="18.75" x14ac:dyDescent="0.35">
      <c r="A231" s="55" t="s">
        <v>295</v>
      </c>
      <c r="B231" s="55" t="s">
        <v>241</v>
      </c>
      <c r="C231" s="104">
        <f>(IF((10^(LOG(C230)-INT(LOG(C230)))*100)-VLOOKUP((10^(LOG(C230)-INT(LOG(C230)))*100),E48_s:E48_f,1)&lt;VLOOKUP((10^(LOG(C230)-INT(LOG(C230)))*100),E48_s:E48_f,2)-(10^(LOG(C230)-INT(LOG(C230)))*100),VLOOKUP((10^(LOG(C230)-INT(LOG(C230)))*100),E48_s:E48_f,1),VLOOKUP((10^(LOG(C230)-INT(LOG(C230)))*100),E48_s:E48_f,2)))*10^INT(LOG(C230))/100</f>
        <v>11.5</v>
      </c>
      <c r="D231" s="55" t="s">
        <v>208</v>
      </c>
    </row>
    <row r="232" spans="1:6" ht="18.75" x14ac:dyDescent="0.35">
      <c r="A232" s="55" t="s">
        <v>323</v>
      </c>
      <c r="B232" s="55" t="s">
        <v>241</v>
      </c>
      <c r="C232" s="92">
        <v>22</v>
      </c>
      <c r="D232" s="55" t="s">
        <v>208</v>
      </c>
    </row>
  </sheetData>
  <sheetProtection password="ECDD" sheet="1" formatColumns="0" formatRows="0" selectLockedCells="1"/>
  <phoneticPr fontId="0" type="noConversion"/>
  <pageMargins left="0.75" right="0.75" top="1" bottom="1" header="0.5" footer="0.5"/>
  <pageSetup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L30"/>
  <sheetViews>
    <sheetView tabSelected="1" topLeftCell="A16" workbookViewId="0">
      <selection activeCell="K2" sqref="K2"/>
    </sheetView>
  </sheetViews>
  <sheetFormatPr defaultRowHeight="12.75" x14ac:dyDescent="0.2"/>
  <sheetData>
    <row r="30" spans="12:12" x14ac:dyDescent="0.2">
      <c r="L30" t="s">
        <v>19</v>
      </c>
    </row>
  </sheetData>
  <sheetProtection password="ECDD" sheet="1" objects="1" scenarios="1"/>
  <phoneticPr fontId="21" type="noConversion"/>
  <pageMargins left="0.75" right="0.75" top="1" bottom="1" header="0.5" footer="0.5"/>
  <pageSetup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6" shapeId="5125" r:id="rId4">
          <objectPr defaultSize="0" autoPict="0" r:id="rId5">
            <anchor moveWithCells="1">
              <from>
                <xdr:col>0</xdr:col>
                <xdr:colOff>47625</xdr:colOff>
                <xdr:row>5</xdr:row>
                <xdr:rowOff>57150</xdr:rowOff>
              </from>
              <to>
                <xdr:col>8</xdr:col>
                <xdr:colOff>533400</xdr:colOff>
                <xdr:row>46</xdr:row>
                <xdr:rowOff>57150</xdr:rowOff>
              </to>
            </anchor>
          </objectPr>
        </oleObject>
      </mc:Choice>
      <mc:Fallback>
        <oleObject progId="Visio.Drawing.6" shapeId="512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2" sqref="I22"/>
    </sheetView>
  </sheetViews>
  <sheetFormatPr defaultRowHeight="12.75" x14ac:dyDescent="0.2"/>
  <sheetData/>
  <phoneticPr fontId="21" type="noConversion"/>
  <pageMargins left="0.75" right="0.75" top="1" bottom="1" header="0.5" footer="0.5"/>
  <pageSetup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31"/>
  <sheetViews>
    <sheetView workbookViewId="0">
      <selection activeCell="I3" sqref="I3"/>
    </sheetView>
  </sheetViews>
  <sheetFormatPr defaultRowHeight="12.75" x14ac:dyDescent="0.2"/>
  <sheetData>
    <row r="31" spans="7:7" x14ac:dyDescent="0.2">
      <c r="G31" t="s">
        <v>19</v>
      </c>
    </row>
  </sheetData>
  <sheetProtection password="ECDD" sheet="1" objects="1" scenarios="1"/>
  <phoneticPr fontId="21" type="noConversion"/>
  <pageMargins left="0.75" right="0.75" top="1" bottom="1" header="0.5" footer="0.5"/>
  <pageSetup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1"/>
  <sheetViews>
    <sheetView workbookViewId="0">
      <selection sqref="A1:IV65536"/>
    </sheetView>
  </sheetViews>
  <sheetFormatPr defaultRowHeight="12.75" x14ac:dyDescent="0.2"/>
  <cols>
    <col min="1" max="1" width="9.140625" style="73"/>
    <col min="2" max="2" width="10.140625" style="73" customWidth="1"/>
    <col min="3" max="3" width="9.140625" style="73"/>
    <col min="4" max="4" width="12.42578125" style="73" customWidth="1"/>
    <col min="5" max="5" width="21.5703125" style="73" customWidth="1"/>
    <col min="6" max="6" width="15.42578125" style="73" customWidth="1"/>
    <col min="7" max="7" width="21.140625" style="73" customWidth="1"/>
    <col min="8" max="8" width="9.140625" style="73"/>
    <col min="9" max="9" width="14.28515625" style="73" customWidth="1"/>
    <col min="10" max="10" width="17.140625" style="73" customWidth="1"/>
    <col min="11" max="11" width="11.85546875" style="73" customWidth="1"/>
    <col min="12" max="12" width="13.5703125" style="73" customWidth="1"/>
    <col min="13" max="16384" width="9.140625" style="73"/>
  </cols>
  <sheetData>
    <row r="1" spans="1:18" ht="42.75" x14ac:dyDescent="0.3">
      <c r="A1" s="73" t="s">
        <v>245</v>
      </c>
      <c r="B1" s="73" t="s">
        <v>260</v>
      </c>
      <c r="C1" s="73" t="s">
        <v>190</v>
      </c>
      <c r="D1" s="73" t="s">
        <v>246</v>
      </c>
      <c r="E1" s="54" t="s">
        <v>247</v>
      </c>
      <c r="F1" s="73" t="s">
        <v>248</v>
      </c>
      <c r="G1" s="73" t="s">
        <v>249</v>
      </c>
      <c r="H1" s="73" t="s">
        <v>250</v>
      </c>
      <c r="I1" s="77" t="s">
        <v>251</v>
      </c>
      <c r="J1" s="77" t="s">
        <v>252</v>
      </c>
      <c r="K1" s="77" t="s">
        <v>253</v>
      </c>
      <c r="L1" s="73" t="s">
        <v>254</v>
      </c>
      <c r="M1" s="73" t="s">
        <v>255</v>
      </c>
      <c r="N1" s="73" t="s">
        <v>256</v>
      </c>
      <c r="O1" s="73" t="s">
        <v>261</v>
      </c>
      <c r="P1" s="79" t="s">
        <v>258</v>
      </c>
      <c r="Q1" s="79" t="s">
        <v>259</v>
      </c>
      <c r="R1" s="73" t="s">
        <v>257</v>
      </c>
    </row>
    <row r="2" spans="1:18" ht="15" x14ac:dyDescent="0.2">
      <c r="A2" s="74">
        <f>1</f>
        <v>1</v>
      </c>
      <c r="B2" s="73">
        <v>100</v>
      </c>
      <c r="C2" s="73">
        <f t="shared" ref="C2:C33" si="0">_ta1*_ta2*(rload/RS)</f>
        <v>299.66310559006206</v>
      </c>
      <c r="D2" s="54" t="str">
        <f t="shared" ref="D2:D33" si="1">IMDIV((COMPLEX(1,2*PI()*(B2)*(esrcout*0.001)*(cout*0.000001))),(COMPLEX(1,2*PI()*(B2)*rload*(cout*0.000001))))</f>
        <v>0.000283141177853219-0.00767312306008136i</v>
      </c>
      <c r="E2" s="54" t="str">
        <f t="shared" ref="E2:E33" si="2">IMDIV(1,(COMPLEX((1-(B2/(fpp*1000))^2),(B2/(fpp*1000)))))</f>
        <v>0.999999999743996-0.00400006399999998i</v>
      </c>
      <c r="F2" s="73" t="str">
        <f t="shared" ref="F2:F33" si="3">IMPRODUCT(D2,E2)</f>
        <v>0.000252448194460533-0.00767425564094946i</v>
      </c>
      <c r="G2" s="73" t="str">
        <f t="shared" ref="G2:G33" si="4">IMPRODUCT(C2,F2)</f>
        <v>0.0756494099526472-2.29969127845897i</v>
      </c>
      <c r="H2" s="76">
        <f t="shared" ref="H2:H33" si="5">IMABS(G2)</f>
        <v>2.3009352032263823</v>
      </c>
      <c r="I2" s="54" t="str">
        <f t="shared" ref="I2:I33" si="6">IMDIV((COMPLEX(1,(2*PI()*B2*(rf*1000)*(Cz*0.000000001)))),(COMPLEX(0,2*PI()*B2*((Cz*0.000000001)+(Cp*0.000000000001))*(RII*1000))))</f>
        <v>6.76532769556027-33.6479795120287i</v>
      </c>
      <c r="J2" s="78" t="str">
        <f t="shared" ref="J2:J33" si="7">IMDIV(1,(COMPLEX(1,2*PI()*B2*(((Cz*0.000000001)*(Cp*0.000000000001))/((Cz*0.000000001)+(Cp*0.000000000001)))*(rf*1000))))</f>
        <v>0.9996660132404-0.0182722525279385i</v>
      </c>
      <c r="K2" s="78" t="str">
        <f t="shared" ref="K2:K33" si="8">IMPRODUCT(I2,J2)</f>
        <v>6.14824378698691-33.7603593084719i</v>
      </c>
      <c r="L2" s="78" t="str">
        <f t="shared" ref="L2:L33" si="9">IMPRODUCT(G2,K2)</f>
        <v>-77.1732928446033-16.6930138762486i</v>
      </c>
      <c r="M2" s="73">
        <f t="shared" ref="M2:M33" si="10">20*LOG(IMABS(L2))</f>
        <v>37.947928409481321</v>
      </c>
      <c r="N2" s="73">
        <f t="shared" ref="N2:N33" si="11">(180/PI())*IMARGUMENT(L2)+180</f>
        <v>12.205360135066741</v>
      </c>
      <c r="O2" s="73">
        <f t="shared" ref="O2:O55" si="12">IF(N2&gt;180,-(360-N2),N2)</f>
        <v>12.205360135066741</v>
      </c>
      <c r="P2" s="73">
        <v>48.311999999999998</v>
      </c>
      <c r="Q2" s="73">
        <v>11.617000000000001</v>
      </c>
      <c r="R2" s="73">
        <f>B2</f>
        <v>100</v>
      </c>
    </row>
    <row r="3" spans="1:18" ht="15" x14ac:dyDescent="0.2">
      <c r="A3" s="74">
        <f>1+A2</f>
        <v>2</v>
      </c>
      <c r="B3" s="73">
        <v>1000</v>
      </c>
      <c r="C3" s="73">
        <f t="shared" si="0"/>
        <v>299.66310559006206</v>
      </c>
      <c r="D3" s="54" t="str">
        <f t="shared" si="1"/>
        <v>0.000224836654459161-0.000767357056457127i</v>
      </c>
      <c r="E3" s="54" t="str">
        <f t="shared" si="2"/>
        <v>0.999997435904011-0.0400639998358979i</v>
      </c>
      <c r="F3" s="73" t="str">
        <f t="shared" si="3"/>
        <v>0.000194092684972424-0.000776362944567332i</v>
      </c>
      <c r="G3" s="73" t="str">
        <f t="shared" si="4"/>
        <v>0.0581624167511501-0.232647331034092i</v>
      </c>
      <c r="H3" s="76">
        <f t="shared" si="5"/>
        <v>0.23980752148258577</v>
      </c>
      <c r="I3" s="54" t="str">
        <f t="shared" si="6"/>
        <v>6.76532769556027-3.36479795120287i</v>
      </c>
      <c r="J3" s="78" t="str">
        <f t="shared" si="7"/>
        <v>0.96767029566572-0.176874233714065i</v>
      </c>
      <c r="K3" s="78" t="str">
        <f t="shared" si="8"/>
        <v>5.95146059221663-4.45262718027265i</v>
      </c>
      <c r="L3" s="78" t="str">
        <f t="shared" si="9"/>
        <v>-0.689740498337737-1.64356698023029i</v>
      </c>
      <c r="M3" s="73">
        <f t="shared" si="10"/>
        <v>5.0202464760362622</v>
      </c>
      <c r="N3" s="73">
        <f t="shared" si="11"/>
        <v>67.234120794830744</v>
      </c>
      <c r="O3" s="73">
        <f t="shared" si="12"/>
        <v>67.234120794830744</v>
      </c>
    </row>
    <row r="4" spans="1:18" ht="15" x14ac:dyDescent="0.2">
      <c r="A4" s="74">
        <f t="shared" ref="A4:A67" si="13">1+A3</f>
        <v>3</v>
      </c>
      <c r="B4" s="73">
        <f t="shared" ref="B4:B35" si="14">(fs*1000/2)*(A4/100)</f>
        <v>1500</v>
      </c>
      <c r="C4" s="73">
        <f t="shared" si="0"/>
        <v>299.66310559006206</v>
      </c>
      <c r="D4" s="54" t="str">
        <f t="shared" si="1"/>
        <v>0.000224509449392622-0.000511571538397806i</v>
      </c>
      <c r="E4" s="54" t="str">
        <f t="shared" si="2"/>
        <v>0.999986993344607-0.0602159971905624i</v>
      </c>
      <c r="F4" s="73" t="str">
        <f t="shared" si="3"/>
        <v>0.000193701738956647-0.000525083944936978i</v>
      </c>
      <c r="G4" s="73" t="str">
        <f t="shared" si="4"/>
        <v>0.0580452646539443-0.157348285635296i</v>
      </c>
      <c r="H4" s="76">
        <f t="shared" si="5"/>
        <v>0.16771325451827931</v>
      </c>
      <c r="I4" s="54" t="str">
        <f t="shared" si="6"/>
        <v>6.76532769556024-2.24319863413524i</v>
      </c>
      <c r="J4" s="78" t="str">
        <f t="shared" si="7"/>
        <v>0.93008363452768-0.255006014265273i</v>
      </c>
      <c r="K4" s="78" t="str">
        <f t="shared" si="8"/>
        <v>5.72029142896131-3.81156158944731i</v>
      </c>
      <c r="L4" s="78" t="str">
        <f t="shared" si="9"/>
        <v>-0.26770685180113-1.12132115088562i</v>
      </c>
      <c r="M4" s="73">
        <f t="shared" si="10"/>
        <v>1.2353415753874479</v>
      </c>
      <c r="N4" s="73">
        <f t="shared" si="11"/>
        <v>76.572419434463541</v>
      </c>
      <c r="O4" s="73">
        <f t="shared" si="12"/>
        <v>76.572419434463541</v>
      </c>
    </row>
    <row r="5" spans="1:18" ht="15" x14ac:dyDescent="0.2">
      <c r="A5" s="74">
        <f t="shared" si="13"/>
        <v>4</v>
      </c>
      <c r="B5" s="73">
        <f t="shared" si="14"/>
        <v>2000</v>
      </c>
      <c r="C5" s="73">
        <f t="shared" si="0"/>
        <v>299.66310559006206</v>
      </c>
      <c r="D5" s="54" t="str">
        <f t="shared" si="1"/>
        <v>0.000224394927568735-0.000383678697747801i</v>
      </c>
      <c r="E5" s="54" t="str">
        <f t="shared" si="2"/>
        <v>0.999958777866806-0.0805119788942678i</v>
      </c>
      <c r="F5" s="73" t="str">
        <f t="shared" si="3"/>
        <v>0.000193494946315892-0.000401729361365813i</v>
      </c>
      <c r="G5" s="73" t="str">
        <f t="shared" si="4"/>
        <v>0.0579832965290025-0.120383468033592i</v>
      </c>
      <c r="H5" s="76">
        <f t="shared" si="5"/>
        <v>0.13361976669701645</v>
      </c>
      <c r="I5" s="54" t="str">
        <f t="shared" si="6"/>
        <v>6.76532769556026-1.68239897560143i</v>
      </c>
      <c r="J5" s="78" t="str">
        <f t="shared" si="7"/>
        <v>0.882114766861152-0.322472177011673i</v>
      </c>
      <c r="K5" s="78" t="str">
        <f t="shared" si="8"/>
        <v>5.42526860264403-3.66569893031478i</v>
      </c>
      <c r="L5" s="78" t="str">
        <f t="shared" si="9"/>
        <v>-0.126714591861726-0.865661957462537i</v>
      </c>
      <c r="M5" s="73">
        <f t="shared" si="10"/>
        <v>-1.1609610184485248</v>
      </c>
      <c r="N5" s="73">
        <f t="shared" si="11"/>
        <v>81.672253145529695</v>
      </c>
      <c r="O5" s="73">
        <f t="shared" si="12"/>
        <v>81.672253145529695</v>
      </c>
    </row>
    <row r="6" spans="1:18" ht="15" x14ac:dyDescent="0.2">
      <c r="A6" s="74">
        <f t="shared" si="13"/>
        <v>5</v>
      </c>
      <c r="B6" s="73">
        <f t="shared" si="14"/>
        <v>2500</v>
      </c>
      <c r="C6" s="73">
        <f t="shared" si="0"/>
        <v>299.66310559006206</v>
      </c>
      <c r="D6" s="54" t="str">
        <f t="shared" si="1"/>
        <v>0.000224341920315653-0.000306942974472095i</v>
      </c>
      <c r="E6" s="54" t="str">
        <f t="shared" si="2"/>
        <v>0.999899000101-0.100999899000101i</v>
      </c>
      <c r="F6" s="73" t="str">
        <f t="shared" si="3"/>
        <v>0.000193318052383887-0.000329570484556044i</v>
      </c>
      <c r="G6" s="73" t="str">
        <f t="shared" si="4"/>
        <v>0.0579302879439779-0.0987601149128857i</v>
      </c>
      <c r="H6" s="76">
        <f t="shared" si="5"/>
        <v>0.11449663121192072</v>
      </c>
      <c r="I6" s="54" t="str">
        <f t="shared" si="6"/>
        <v>6.76532769556025-1.34591918048114i</v>
      </c>
      <c r="J6" s="78" t="str">
        <f t="shared" si="7"/>
        <v>0.827258864547393-0.3780233267606i</v>
      </c>
      <c r="K6" s="78" t="str">
        <f t="shared" si="8"/>
        <v>5.08788846156382-3.67087525511869i</v>
      </c>
      <c r="L6" s="78" t="str">
        <f t="shared" si="9"/>
        <v>-0.0677932184211556-0.715135309663437i</v>
      </c>
      <c r="M6" s="73">
        <f t="shared" si="10"/>
        <v>-2.8733815210761406</v>
      </c>
      <c r="N6" s="73">
        <f t="shared" si="11"/>
        <v>84.584672134948789</v>
      </c>
      <c r="O6" s="73">
        <f t="shared" si="12"/>
        <v>84.584672134948789</v>
      </c>
    </row>
    <row r="7" spans="1:18" ht="15" x14ac:dyDescent="0.2">
      <c r="A7" s="74">
        <f t="shared" si="13"/>
        <v>6</v>
      </c>
      <c r="B7" s="73">
        <f t="shared" si="14"/>
        <v>3000</v>
      </c>
      <c r="C7" s="73">
        <f t="shared" si="0"/>
        <v>299.66310559006206</v>
      </c>
      <c r="D7" s="54" t="str">
        <f t="shared" si="1"/>
        <v>0.000224313126249895-0.000255785819426846i</v>
      </c>
      <c r="E7" s="54" t="str">
        <f t="shared" si="2"/>
        <v>0.999789654644088-0.121727636523225i</v>
      </c>
      <c r="F7" s="73" t="str">
        <f t="shared" si="3"/>
        <v>0.000193129739770532-0.000283037122767157i</v>
      </c>
      <c r="G7" s="73" t="str">
        <f t="shared" si="4"/>
        <v>0.0578738576014381-0.0848157832056819i</v>
      </c>
      <c r="H7" s="76">
        <f t="shared" si="5"/>
        <v>0.10267960106303865</v>
      </c>
      <c r="I7" s="54" t="str">
        <f t="shared" si="6"/>
        <v>6.76532769556025-1.12159931706762i</v>
      </c>
      <c r="J7" s="78" t="str">
        <f t="shared" si="7"/>
        <v>0.768823582743237-0.421584963395387i</v>
      </c>
      <c r="K7" s="78" t="str">
        <f t="shared" si="8"/>
        <v>4.72849407030244-3.71447243424086i</v>
      </c>
      <c r="L7" s="78" t="str">
        <f t="shared" si="9"/>
        <v>-0.0413896962121264-0.616021776679847i</v>
      </c>
      <c r="M7" s="73">
        <f t="shared" si="10"/>
        <v>-4.188517377647921</v>
      </c>
      <c r="N7" s="73">
        <f t="shared" si="11"/>
        <v>86.156148807851935</v>
      </c>
      <c r="O7" s="73">
        <f t="shared" si="12"/>
        <v>86.156148807851935</v>
      </c>
    </row>
    <row r="8" spans="1:18" ht="15" x14ac:dyDescent="0.2">
      <c r="A8" s="74">
        <f t="shared" si="13"/>
        <v>7</v>
      </c>
      <c r="B8" s="73">
        <f t="shared" si="14"/>
        <v>3500.0000000000005</v>
      </c>
      <c r="C8" s="73">
        <f t="shared" si="0"/>
        <v>299.66310559006206</v>
      </c>
      <c r="D8" s="54" t="str">
        <f t="shared" si="1"/>
        <v>0.000224295764335603-0.00021924499188752i</v>
      </c>
      <c r="E8" s="54" t="str">
        <f t="shared" si="2"/>
        <v>0.999608313413218-0.142742925212006i</v>
      </c>
      <c r="F8" s="73" t="str">
        <f t="shared" si="3"/>
        <v>0.000192912239213134-0.000251175750078905i</v>
      </c>
      <c r="G8" s="73" t="str">
        <f t="shared" si="4"/>
        <v>0.0578086807089407-0.0752681053175579i</v>
      </c>
      <c r="H8" s="76">
        <f t="shared" si="5"/>
        <v>9.4905907315631505E-2</v>
      </c>
      <c r="I8" s="54" t="str">
        <f t="shared" si="6"/>
        <v>6.76532769556026-0.961370843200818i</v>
      </c>
      <c r="J8" s="78" t="str">
        <f t="shared" si="7"/>
        <v>0.709586995735473-0.453952961460303i</v>
      </c>
      <c r="K8" s="78" t="str">
        <f t="shared" si="8"/>
        <v>4.364171413326-3.75331679106353i</v>
      </c>
      <c r="L8" s="78" t="str">
        <f t="shared" si="9"/>
        <v>-0.030218051727879-0.545457205536194i</v>
      </c>
      <c r="M8" s="73">
        <f t="shared" si="10"/>
        <v>-5.2514778005633742</v>
      </c>
      <c r="N8" s="73">
        <f t="shared" si="11"/>
        <v>86.829084265392524</v>
      </c>
      <c r="O8" s="73">
        <f t="shared" si="12"/>
        <v>86.829084265392524</v>
      </c>
    </row>
    <row r="9" spans="1:18" ht="15" x14ac:dyDescent="0.2">
      <c r="A9" s="74">
        <f t="shared" si="13"/>
        <v>8</v>
      </c>
      <c r="B9" s="73">
        <f t="shared" si="14"/>
        <v>4000</v>
      </c>
      <c r="C9" s="73">
        <f t="shared" si="0"/>
        <v>299.66310559006206</v>
      </c>
      <c r="D9" s="54" t="str">
        <f t="shared" si="1"/>
        <v>0.000224284495785138-0.000191839370063817i</v>
      </c>
      <c r="E9" s="54" t="str">
        <f t="shared" si="2"/>
        <v>0.999327874060402-0.164093246972151i</v>
      </c>
      <c r="F9" s="73" t="str">
        <f t="shared" si="3"/>
        <v>0.000192654203226807-0.000228514001005856i</v>
      </c>
      <c r="G9" s="73" t="str">
        <f t="shared" si="4"/>
        <v>0.0577313568439239-0.0684772152122254i</v>
      </c>
      <c r="H9" s="76">
        <f t="shared" si="5"/>
        <v>8.9565833699362787E-2</v>
      </c>
      <c r="I9" s="54" t="str">
        <f t="shared" si="6"/>
        <v>6.76532769556024-0.841199487800714i</v>
      </c>
      <c r="J9" s="78" t="str">
        <f t="shared" si="7"/>
        <v>0.651653716112126-0.476446377244473i</v>
      </c>
      <c r="K9" s="78" t="str">
        <f t="shared" si="8"/>
        <v>4.00786448502556-3.77148664363833i</v>
      </c>
      <c r="L9" s="78" t="str">
        <f t="shared" si="9"/>
        <v>-0.0268814477993557-0.492180440138507i</v>
      </c>
      <c r="M9" s="73">
        <f t="shared" si="10"/>
        <v>-6.1445771736478623</v>
      </c>
      <c r="N9" s="73">
        <f t="shared" si="11"/>
        <v>86.873779130022058</v>
      </c>
      <c r="O9" s="73">
        <f t="shared" si="12"/>
        <v>86.873779130022058</v>
      </c>
    </row>
    <row r="10" spans="1:18" ht="15" x14ac:dyDescent="0.2">
      <c r="A10" s="74">
        <f t="shared" si="13"/>
        <v>9</v>
      </c>
      <c r="B10" s="73">
        <f t="shared" si="14"/>
        <v>4500</v>
      </c>
      <c r="C10" s="73">
        <f t="shared" si="0"/>
        <v>299.66310559006206</v>
      </c>
      <c r="D10" s="54" t="str">
        <f t="shared" si="1"/>
        <v>0.000224276770103892-0.000170523885818879i</v>
      </c>
      <c r="E10" s="54" t="str">
        <f t="shared" si="2"/>
        <v>0.99891626463625-0.185825679655359i</v>
      </c>
      <c r="F10" s="73" t="str">
        <f t="shared" si="3"/>
        <v>0.000192345996457097-0.000212015466288917i</v>
      </c>
      <c r="G10" s="73" t="str">
        <f t="shared" si="4"/>
        <v>0.0576389986461488-0.063533213061262i</v>
      </c>
      <c r="H10" s="76">
        <f t="shared" si="5"/>
        <v>8.5783001386163071E-2</v>
      </c>
      <c r="I10" s="54" t="str">
        <f t="shared" si="6"/>
        <v>6.76532769556022-0.747732878045077i</v>
      </c>
      <c r="J10" s="78" t="str">
        <f t="shared" si="7"/>
        <v>0.596463278156448-0.490606600003824i</v>
      </c>
      <c r="K10" s="78" t="str">
        <f t="shared" si="8"/>
        <v>3.66842685008769-3.76510962225463i</v>
      </c>
      <c r="L10" s="78" t="str">
        <f t="shared" si="9"/>
        <v>-0.0277650615840108-0.450084093086012i</v>
      </c>
      <c r="M10" s="73">
        <f t="shared" si="10"/>
        <v>-6.9176310713662303</v>
      </c>
      <c r="N10" s="73">
        <f t="shared" si="11"/>
        <v>86.469976348511665</v>
      </c>
      <c r="O10" s="73">
        <f t="shared" si="12"/>
        <v>86.469976348511665</v>
      </c>
    </row>
    <row r="11" spans="1:18" ht="15" x14ac:dyDescent="0.2">
      <c r="A11" s="74">
        <f t="shared" si="13"/>
        <v>10</v>
      </c>
      <c r="B11" s="73">
        <f t="shared" si="14"/>
        <v>5000</v>
      </c>
      <c r="C11" s="73">
        <f t="shared" si="0"/>
        <v>299.66310559006206</v>
      </c>
      <c r="D11" s="54" t="str">
        <f t="shared" si="1"/>
        <v>0.000224271243969467-0.000153471498085286i</v>
      </c>
      <c r="E11" s="54" t="str">
        <f t="shared" si="2"/>
        <v>0.998336106489185-0.207986688851913i</v>
      </c>
      <c r="F11" s="73" t="str">
        <f t="shared" si="3"/>
        <v>0.000191978051782062-0.000199861571293436i</v>
      </c>
      <c r="G11" s="73" t="str">
        <f t="shared" si="4"/>
        <v>0.0575287392021424-0.0598911391419006i</v>
      </c>
      <c r="H11" s="76">
        <f t="shared" si="5"/>
        <v>8.3045194815248732E-2</v>
      </c>
      <c r="I11" s="54" t="str">
        <f t="shared" si="6"/>
        <v>6.76532769556024-0.672959590240573i</v>
      </c>
      <c r="J11" s="78" t="str">
        <f t="shared" si="7"/>
        <v>0.544886122215679-0.497981160318781i</v>
      </c>
      <c r="K11" s="78" t="str">
        <f t="shared" si="8"/>
        <v>3.3512119759565-3.73569207730591i</v>
      </c>
      <c r="L11" s="78" t="str">
        <f t="shared" si="9"/>
        <v>-0.0309438542173261-0.415617558000856i</v>
      </c>
      <c r="M11" s="73">
        <f t="shared" si="10"/>
        <v>-7.6021149127748178</v>
      </c>
      <c r="N11" s="73">
        <f t="shared" si="11"/>
        <v>85.742029853240012</v>
      </c>
      <c r="O11" s="73">
        <f t="shared" si="12"/>
        <v>85.742029853240012</v>
      </c>
    </row>
    <row r="12" spans="1:18" ht="15" x14ac:dyDescent="0.2">
      <c r="A12" s="74">
        <f t="shared" si="13"/>
        <v>11</v>
      </c>
      <c r="B12" s="73">
        <f t="shared" si="14"/>
        <v>5500</v>
      </c>
      <c r="C12" s="73">
        <f t="shared" si="0"/>
        <v>299.66310559006206</v>
      </c>
      <c r="D12" s="54" t="str">
        <f t="shared" si="1"/>
        <v>0.00022426715525492-0.00013951954428448i</v>
      </c>
      <c r="E12" s="54" t="str">
        <f t="shared" si="2"/>
        <v>0.997544338518663-0.230621852116547i</v>
      </c>
      <c r="F12" s="73" t="str">
        <f t="shared" si="3"/>
        <v>0.000191540175330888-0.000190897838227486i</v>
      </c>
      <c r="G12" s="73" t="str">
        <f t="shared" si="4"/>
        <v>0.0573975237849189-0.0572050390536777i</v>
      </c>
      <c r="H12" s="76">
        <f t="shared" si="5"/>
        <v>8.1036363626295085E-2</v>
      </c>
      <c r="I12" s="54" t="str">
        <f t="shared" si="6"/>
        <v>6.76532769556027-0.611781445673247i</v>
      </c>
      <c r="J12" s="78" t="str">
        <f t="shared" si="7"/>
        <v>0.497352223420331-0.499992989230033i</v>
      </c>
      <c r="K12" s="78" t="str">
        <f t="shared" si="8"/>
        <v>3.05886433777641-3.6868872798768i</v>
      </c>
      <c r="L12" s="78" t="str">
        <f t="shared" si="9"/>
        <v>-0.0353372922494982-0.386600654241445i</v>
      </c>
      <c r="M12" s="73">
        <f t="shared" si="10"/>
        <v>-8.218614167404187</v>
      </c>
      <c r="N12" s="73">
        <f t="shared" si="11"/>
        <v>84.777383016600396</v>
      </c>
      <c r="O12" s="73">
        <f t="shared" si="12"/>
        <v>84.777383016600396</v>
      </c>
    </row>
    <row r="13" spans="1:18" ht="15" x14ac:dyDescent="0.2">
      <c r="A13" s="74">
        <f t="shared" si="13"/>
        <v>12</v>
      </c>
      <c r="B13" s="73">
        <f t="shared" si="14"/>
        <v>6000</v>
      </c>
      <c r="C13" s="73">
        <f t="shared" si="0"/>
        <v>299.66310559006206</v>
      </c>
      <c r="D13" s="54" t="str">
        <f t="shared" si="1"/>
        <v>0.000224264045452165-0.000127892915991917i</v>
      </c>
      <c r="E13" s="54" t="str">
        <f t="shared" si="2"/>
        <v>0.996491807450037-0.253775502746189i</v>
      </c>
      <c r="F13" s="73" t="str">
        <f t="shared" si="3"/>
        <v>0.00019102119494516-0.000184356963899358i</v>
      </c>
      <c r="G13" s="73" t="str">
        <f t="shared" si="4"/>
        <v>0.0572420045107913-0.0552449803392366i</v>
      </c>
      <c r="H13" s="76">
        <f t="shared" si="5"/>
        <v>7.9552843651852514E-2</v>
      </c>
      <c r="I13" s="54" t="str">
        <f t="shared" si="6"/>
        <v>6.76532769556024-0.560799658533809i</v>
      </c>
      <c r="J13" s="78" t="str">
        <f t="shared" si="7"/>
        <v>0.453977149753728-0.497877391789594i</v>
      </c>
      <c r="K13" s="78" t="str">
        <f t="shared" si="8"/>
        <v>2.79209471307309-3.62289393823148i</v>
      </c>
      <c r="L13" s="78" t="str">
        <f t="shared" si="9"/>
        <v>-0.0403216062284512-0.361630928683374i</v>
      </c>
      <c r="M13" s="73">
        <f t="shared" si="10"/>
        <v>-8.7810296005165878</v>
      </c>
      <c r="N13" s="73">
        <f t="shared" si="11"/>
        <v>83.637837151513963</v>
      </c>
      <c r="O13" s="73">
        <f t="shared" si="12"/>
        <v>83.637837151513963</v>
      </c>
    </row>
    <row r="14" spans="1:18" ht="15" x14ac:dyDescent="0.2">
      <c r="A14" s="74">
        <f t="shared" si="13"/>
        <v>13</v>
      </c>
      <c r="B14" s="73">
        <f t="shared" si="14"/>
        <v>6500</v>
      </c>
      <c r="C14" s="73">
        <f t="shared" si="0"/>
        <v>299.66310559006206</v>
      </c>
      <c r="D14" s="54" t="str">
        <f t="shared" si="1"/>
        <v>0.000224261625294362-0.00011805499966293i</v>
      </c>
      <c r="E14" s="54" t="str">
        <f t="shared" si="2"/>
        <v>0.99512283085849-0.277490278875169i</v>
      </c>
      <c r="F14" s="73" t="str">
        <f t="shared" si="3"/>
        <v>0.000190408748636777-0.000179709646405504i</v>
      </c>
      <c r="G14" s="73" t="str">
        <f t="shared" si="4"/>
        <v>0.0570584769480141-0.0538523507463653i</v>
      </c>
      <c r="H14" s="76">
        <f t="shared" si="5"/>
        <v>7.8458558950165583E-2</v>
      </c>
      <c r="I14" s="54" t="str">
        <f t="shared" si="6"/>
        <v>6.76532769556025-0.51766122326198i</v>
      </c>
      <c r="J14" s="78" t="str">
        <f t="shared" si="7"/>
        <v>0.414668396337851-0.492664710951014i</v>
      </c>
      <c r="K14" s="78" t="str">
        <f t="shared" si="8"/>
        <v>2.55033416928911-3.54769596291842i</v>
      </c>
      <c r="L14" s="78" t="str">
        <f t="shared" si="9"/>
        <v>-0.0455335839284316-0.339767618523741i</v>
      </c>
      <c r="M14" s="73">
        <f t="shared" si="10"/>
        <v>-9.2990543167862185</v>
      </c>
      <c r="N14" s="73">
        <f t="shared" si="11"/>
        <v>82.367047520066365</v>
      </c>
      <c r="O14" s="73">
        <f t="shared" si="12"/>
        <v>82.367047520066365</v>
      </c>
    </row>
    <row r="15" spans="1:18" ht="15" x14ac:dyDescent="0.2">
      <c r="A15" s="74">
        <f t="shared" si="13"/>
        <v>14</v>
      </c>
      <c r="B15" s="73">
        <f t="shared" si="14"/>
        <v>7000.0000000000009</v>
      </c>
      <c r="C15" s="73">
        <f t="shared" si="0"/>
        <v>299.66310559006206</v>
      </c>
      <c r="D15" s="54" t="str">
        <f t="shared" si="1"/>
        <v>0.000224259704973224-0.000109622499897564i</v>
      </c>
      <c r="E15" s="54" t="str">
        <f t="shared" si="2"/>
        <v>0.993374742343426-0.301806562343923i</v>
      </c>
      <c r="F15" s="73" t="str">
        <f t="shared" si="3"/>
        <v>0.000189689136796158-0.000176579273221016i</v>
      </c>
      <c r="G15" s="73" t="str">
        <f t="shared" si="4"/>
        <v>0.0568428358290348-0.0529142933962457i</v>
      </c>
      <c r="H15" s="76">
        <f t="shared" si="5"/>
        <v>7.7659709185075962E-2</v>
      </c>
      <c r="I15" s="54" t="str">
        <f t="shared" si="6"/>
        <v>6.76532769556027-0.480685421600409i</v>
      </c>
      <c r="J15" s="78" t="str">
        <f t="shared" si="7"/>
        <v>0.379207033887203-0.485189714789661i</v>
      </c>
      <c r="K15" s="78" t="str">
        <f t="shared" si="8"/>
        <v>2.33223622609851-3.46474670802539i</v>
      </c>
      <c r="L15" s="78" t="str">
        <f t="shared" si="9"/>
        <v>-0.0507637029374866-0.320354660250605i</v>
      </c>
      <c r="M15" s="73">
        <f t="shared" si="10"/>
        <v>-9.7796749194934698</v>
      </c>
      <c r="N15" s="73">
        <f t="shared" si="11"/>
        <v>80.995723795910763</v>
      </c>
      <c r="O15" s="73">
        <f t="shared" si="12"/>
        <v>80.995723795910763</v>
      </c>
    </row>
    <row r="16" spans="1:18" ht="15" x14ac:dyDescent="0.2">
      <c r="A16" s="74">
        <f t="shared" si="13"/>
        <v>15</v>
      </c>
      <c r="B16" s="73">
        <f t="shared" si="14"/>
        <v>7500</v>
      </c>
      <c r="C16" s="73">
        <f t="shared" si="0"/>
        <v>299.66310559006206</v>
      </c>
      <c r="D16" s="54" t="str">
        <f t="shared" si="1"/>
        <v>0.000224258155756114-0.000102314333396269i</v>
      </c>
      <c r="E16" s="54" t="str">
        <f t="shared" si="2"/>
        <v>0.991177431652325-0.326761790654613i</v>
      </c>
      <c r="F16" s="73" t="str">
        <f t="shared" si="3"/>
        <v>0.000188847208059234-0.000174690654740703i</v>
      </c>
      <c r="G16" s="73" t="str">
        <f t="shared" si="4"/>
        <v>0.0565905408490427-0.0523483441171604i</v>
      </c>
      <c r="H16" s="76">
        <f t="shared" si="5"/>
        <v>7.7089807662205329E-2</v>
      </c>
      <c r="I16" s="54" t="str">
        <f t="shared" si="6"/>
        <v>6.76532769556025-0.448639726827048i</v>
      </c>
      <c r="J16" s="78" t="str">
        <f t="shared" si="7"/>
        <v>0.347306252833458-0.476114082522498i</v>
      </c>
      <c r="K16" s="78" t="str">
        <f t="shared" si="8"/>
        <v>2.13603691921404-3.37688317113224i</v>
      </c>
      <c r="L16" s="78" t="str">
        <f t="shared" si="9"/>
        <v>-0.0558947577540329-0.30291764073238i</v>
      </c>
      <c r="M16" s="73">
        <f t="shared" si="10"/>
        <v>-10.228101229720091</v>
      </c>
      <c r="N16" s="73">
        <f t="shared" si="11"/>
        <v>79.545303809517677</v>
      </c>
      <c r="O16" s="73">
        <f t="shared" si="12"/>
        <v>79.545303809517677</v>
      </c>
    </row>
    <row r="17" spans="1:18" ht="15" x14ac:dyDescent="0.2">
      <c r="A17" s="74">
        <f t="shared" si="13"/>
        <v>16</v>
      </c>
      <c r="B17" s="73">
        <f t="shared" si="14"/>
        <v>8000</v>
      </c>
      <c r="C17" s="73">
        <f t="shared" si="0"/>
        <v>299.66310559006206</v>
      </c>
      <c r="D17" s="54" t="str">
        <f t="shared" si="1"/>
        <v>0.000224256887835427-0.0000959196876806481i</v>
      </c>
      <c r="E17" s="54" t="str">
        <f t="shared" si="2"/>
        <v>0.98845289678367-0.352389624521807i</v>
      </c>
      <c r="F17" s="73" t="str">
        <f t="shared" si="3"/>
        <v>0.000187866267678586-0.000173837893647277i</v>
      </c>
      <c r="G17" s="73" t="str">
        <f t="shared" si="4"/>
        <v>0.056296589208179-0.0520928030795779i</v>
      </c>
      <c r="H17" s="76">
        <f t="shared" si="5"/>
        <v>7.6700496016402248E-2</v>
      </c>
      <c r="I17" s="54" t="str">
        <f t="shared" si="6"/>
        <v>6.76532769556022-0.420599743900357i</v>
      </c>
      <c r="J17" s="78" t="str">
        <f t="shared" si="7"/>
        <v>0.318651020043952-0.465953374780032i</v>
      </c>
      <c r="K17" s="78" t="str">
        <f t="shared" si="8"/>
        <v>1.95979870101987-3.28635180866318i</v>
      </c>
      <c r="L17" s="78" t="str">
        <f t="shared" si="9"/>
        <v>-0.0608652952168673-0.287101805573708i</v>
      </c>
      <c r="M17" s="73">
        <f t="shared" si="10"/>
        <v>-10.648353123409244</v>
      </c>
      <c r="N17" s="73">
        <f t="shared" si="11"/>
        <v>78.030568546794427</v>
      </c>
      <c r="O17" s="73">
        <f t="shared" si="12"/>
        <v>78.030568546794427</v>
      </c>
    </row>
    <row r="18" spans="1:18" ht="15" x14ac:dyDescent="0.2">
      <c r="A18" s="74">
        <f t="shared" si="13"/>
        <v>17</v>
      </c>
      <c r="B18" s="73">
        <f t="shared" si="14"/>
        <v>8500</v>
      </c>
      <c r="C18" s="73">
        <f t="shared" si="0"/>
        <v>299.66310559006206</v>
      </c>
      <c r="D18" s="54" t="str">
        <f t="shared" si="1"/>
        <v>0.000224255837013781-0.0000902773532060847i</v>
      </c>
      <c r="E18" s="54" t="str">
        <f t="shared" si="2"/>
        <v>0.985114830259947-0.378718953288537i</v>
      </c>
      <c r="F18" s="73" t="str">
        <f t="shared" si="3"/>
        <v>0.000186728006102765-0.000173863495342633i</v>
      </c>
      <c r="G18" s="73" t="str">
        <f t="shared" si="4"/>
        <v>0.0559554942093946-0.0521004749631167i</v>
      </c>
      <c r="H18" s="76">
        <f t="shared" si="5"/>
        <v>7.6455718056924568E-2</v>
      </c>
      <c r="I18" s="54" t="str">
        <f t="shared" si="6"/>
        <v>6.76532769556027-0.395858582494455i</v>
      </c>
      <c r="J18" s="78" t="str">
        <f t="shared" si="7"/>
        <v>0.29292350685696-0.455103643127124i</v>
      </c>
      <c r="K18" s="78" t="str">
        <f t="shared" si="8"/>
        <v>1.80156683056366-3.19488156540201i</v>
      </c>
      <c r="L18" s="78" t="str">
        <f t="shared" si="9"/>
        <v>-0.0656472846529082-0.272633664482717i</v>
      </c>
      <c r="M18" s="73">
        <f t="shared" si="10"/>
        <v>-11.043637795462768</v>
      </c>
      <c r="N18" s="73">
        <f t="shared" si="11"/>
        <v>76.461510769640711</v>
      </c>
      <c r="O18" s="73">
        <f t="shared" si="12"/>
        <v>76.461510769640711</v>
      </c>
    </row>
    <row r="19" spans="1:18" ht="15" x14ac:dyDescent="0.2">
      <c r="A19" s="74">
        <f t="shared" si="13"/>
        <v>18</v>
      </c>
      <c r="B19" s="73">
        <f t="shared" si="14"/>
        <v>9000</v>
      </c>
      <c r="C19" s="73">
        <f t="shared" si="0"/>
        <v>299.66310559006206</v>
      </c>
      <c r="D19" s="54" t="str">
        <f t="shared" si="1"/>
        <v>0.000224254956415021-0.0000852619447697346i</v>
      </c>
      <c r="E19" s="54" t="str">
        <f t="shared" si="2"/>
        <v>0.981068267923973-0.405772721108261i</v>
      </c>
      <c r="F19" s="73" t="str">
        <f t="shared" si="3"/>
        <v>0.000185412450327253-0.000174644332361611i</v>
      </c>
      <c r="G19" s="73" t="str">
        <f t="shared" si="4"/>
        <v>0.0555612706801278-0.0523344630091833i</v>
      </c>
      <c r="H19" s="76">
        <f t="shared" si="5"/>
        <v>7.6327916374351559E-2</v>
      </c>
      <c r="I19" s="54" t="str">
        <f t="shared" si="6"/>
        <v>6.76532769556025-0.37386643902254i</v>
      </c>
      <c r="J19" s="78" t="str">
        <f t="shared" si="7"/>
        <v>0.269818391074515-0.443865325197267i</v>
      </c>
      <c r="K19" s="78" t="str">
        <f t="shared" si="8"/>
        <v>1.65946348537084-3.10377041870975i</v>
      </c>
      <c r="L19" s="78" t="str">
        <f t="shared" si="9"/>
        <v>-0.0702322582724852-0.259296558753137i</v>
      </c>
      <c r="M19" s="73">
        <f t="shared" si="10"/>
        <v>-11.416596902255169</v>
      </c>
      <c r="N19" s="73">
        <f t="shared" si="11"/>
        <v>74.844674746250732</v>
      </c>
      <c r="O19" s="73">
        <f t="shared" si="12"/>
        <v>74.844674746250732</v>
      </c>
    </row>
    <row r="20" spans="1:18" ht="15" x14ac:dyDescent="0.2">
      <c r="A20" s="74">
        <f t="shared" si="13"/>
        <v>19</v>
      </c>
      <c r="B20" s="73">
        <f t="shared" si="14"/>
        <v>9500</v>
      </c>
      <c r="C20" s="73">
        <f t="shared" si="0"/>
        <v>299.66310559006206</v>
      </c>
      <c r="D20" s="54" t="str">
        <f t="shared" si="1"/>
        <v>0.000224254211164322-0.0000807744740525907i</v>
      </c>
      <c r="E20" s="54" t="str">
        <f t="shared" si="2"/>
        <v>0.976209335792462-0.433566558673604i</v>
      </c>
      <c r="F20" s="73" t="str">
        <f t="shared" si="3"/>
        <v>0.000183897943785733-0.000176081922266444i</v>
      </c>
      <c r="G20" s="73" t="str">
        <f t="shared" si="4"/>
        <v>0.0551074289464594-0.0527652556646305i</v>
      </c>
      <c r="H20" s="76">
        <f t="shared" si="5"/>
        <v>7.6295484338477673E-2</v>
      </c>
      <c r="I20" s="54" t="str">
        <f t="shared" si="6"/>
        <v>6.76532769556023-0.354189258021353i</v>
      </c>
      <c r="J20" s="78" t="str">
        <f t="shared" si="7"/>
        <v>0.249051266917247-0.432463563047988i</v>
      </c>
      <c r="K20" s="78" t="str">
        <f t="shared" si="8"/>
        <v>1.53173948517238-3.01396900384791i</v>
      </c>
      <c r="L20" s="78" t="str">
        <f t="shared" si="9"/>
        <v>-0.0746226202096834-0.24691470827311i</v>
      </c>
      <c r="M20" s="73">
        <f t="shared" si="10"/>
        <v>-11.769471716783189</v>
      </c>
      <c r="N20" s="73">
        <f t="shared" si="11"/>
        <v>73.184120892564124</v>
      </c>
      <c r="O20" s="73">
        <f t="shared" si="12"/>
        <v>73.184120892564124</v>
      </c>
    </row>
    <row r="21" spans="1:18" ht="15" x14ac:dyDescent="0.2">
      <c r="A21" s="74">
        <f t="shared" si="13"/>
        <v>20</v>
      </c>
      <c r="B21" s="73">
        <f t="shared" si="14"/>
        <v>10000</v>
      </c>
      <c r="C21" s="73">
        <f t="shared" si="0"/>
        <v>299.66310559006206</v>
      </c>
      <c r="D21" s="54" t="str">
        <f t="shared" si="1"/>
        <v>0.00022425357488136-0.0000767357503987977i</v>
      </c>
      <c r="E21" s="54" t="str">
        <f t="shared" si="2"/>
        <v>0.970425138632163-0.462107208872458i</v>
      </c>
      <c r="F21" s="73" t="str">
        <f t="shared" si="3"/>
        <v>0.00018216116305548-0.000178095494786892i</v>
      </c>
      <c r="G21" s="73" t="str">
        <f t="shared" si="4"/>
        <v>0.0545869798391028-0.0533686490594388i</v>
      </c>
      <c r="H21" s="76">
        <f t="shared" si="5"/>
        <v>7.6341018269238156E-2</v>
      </c>
      <c r="I21" s="54" t="str">
        <f t="shared" si="6"/>
        <v>6.76532769556027-0.336479795120287i</v>
      </c>
      <c r="J21" s="78" t="str">
        <f t="shared" si="7"/>
        <v>0.230362546590482-0.421064892527067i</v>
      </c>
      <c r="K21" s="78" t="str">
        <f t="shared" si="8"/>
        <v>1.41679828769853-2.92615432152163i</v>
      </c>
      <c r="L21" s="78" t="str">
        <f t="shared" si="9"/>
        <v>-0.0788261635123731-0.235342537559201i</v>
      </c>
      <c r="M21" s="73">
        <f t="shared" si="10"/>
        <v>-12.104215859441593</v>
      </c>
      <c r="N21" s="73">
        <f t="shared" si="11"/>
        <v>71.482124563372849</v>
      </c>
      <c r="O21" s="73">
        <f t="shared" si="12"/>
        <v>71.482124563372849</v>
      </c>
    </row>
    <row r="22" spans="1:18" ht="15" x14ac:dyDescent="0.2">
      <c r="A22" s="74">
        <f t="shared" si="13"/>
        <v>21</v>
      </c>
      <c r="B22" s="73">
        <f t="shared" si="14"/>
        <v>10500</v>
      </c>
      <c r="C22" s="73">
        <f t="shared" si="0"/>
        <v>299.66310559006206</v>
      </c>
      <c r="D22" s="54" t="str">
        <f t="shared" si="1"/>
        <v>0.000224253027313237-0.0000730816670865i</v>
      </c>
      <c r="E22" s="54" t="str">
        <f t="shared" si="2"/>
        <v>0.963593842808501-0.491390740625996i</v>
      </c>
      <c r="F22" s="73" t="str">
        <f t="shared" si="3"/>
        <v>0.000180177181834384-0.000180616905605805i</v>
      </c>
      <c r="G22" s="73" t="str">
        <f t="shared" si="4"/>
        <v>0.0539924538649568-0.0541242228559026i</v>
      </c>
      <c r="H22" s="76">
        <f t="shared" si="5"/>
        <v>7.6450092047785648E-2</v>
      </c>
      <c r="I22" s="54" t="str">
        <f t="shared" si="6"/>
        <v>6.76532769556025-0.320456947733606i</v>
      </c>
      <c r="J22" s="78" t="str">
        <f t="shared" si="7"/>
        <v>0.213518531091657-0.409790639195331i</v>
      </c>
      <c r="K22" s="78" t="str">
        <f t="shared" si="8"/>
        <v>1.31320257446339-2.84079145748771i</v>
      </c>
      <c r="L22" s="78" t="str">
        <f t="shared" si="9"/>
        <v>-0.0828526005151521-0.22445737050357i</v>
      </c>
      <c r="M22" s="73">
        <f t="shared" si="10"/>
        <v>-12.422573983835237</v>
      </c>
      <c r="N22" s="73">
        <f t="shared" si="11"/>
        <v>69.739686633987432</v>
      </c>
      <c r="O22" s="73">
        <f t="shared" si="12"/>
        <v>69.739686633987432</v>
      </c>
    </row>
    <row r="23" spans="1:18" ht="15" x14ac:dyDescent="0.2">
      <c r="A23" s="74">
        <f t="shared" si="13"/>
        <v>22</v>
      </c>
      <c r="B23" s="73">
        <f t="shared" si="14"/>
        <v>11000</v>
      </c>
      <c r="C23" s="73">
        <f t="shared" si="0"/>
        <v>299.66310559006206</v>
      </c>
      <c r="D23" s="54" t="str">
        <f t="shared" si="1"/>
        <v>0.000224252552702691-0.0000697597731611393i</v>
      </c>
      <c r="E23" s="54" t="str">
        <f t="shared" si="2"/>
        <v>0.95558501521352-0.521400553935948i</v>
      </c>
      <c r="F23" s="73" t="str">
        <f t="shared" si="3"/>
        <v>0.000177919594617408-0.000183586799098212i</v>
      </c>
      <c r="G23" s="73" t="str">
        <f t="shared" si="4"/>
        <v>0.0533159382683774-0.055014190363109i</v>
      </c>
      <c r="H23" s="76">
        <f t="shared" si="5"/>
        <v>7.6610380593923597E-2</v>
      </c>
      <c r="I23" s="54" t="str">
        <f t="shared" si="6"/>
        <v>6.76532769556024-0.305890722836624i</v>
      </c>
      <c r="J23" s="78" t="str">
        <f t="shared" si="7"/>
        <v>0.198310790169283-0.398727501774982i</v>
      </c>
      <c r="K23" s="78" t="str">
        <f t="shared" si="8"/>
        <v>1.2196704373279-2.75818364169101i</v>
      </c>
      <c r="L23" s="78" t="str">
        <f t="shared" si="9"/>
        <v>-0.0867113661760633-0.21415433039266i</v>
      </c>
      <c r="M23" s="73">
        <f t="shared" si="10"/>
        <v>-12.726137971045727</v>
      </c>
      <c r="N23" s="73">
        <f t="shared" si="11"/>
        <v>67.956911064664681</v>
      </c>
      <c r="O23" s="73">
        <f t="shared" si="12"/>
        <v>67.956911064664681</v>
      </c>
    </row>
    <row r="24" spans="1:18" ht="15" x14ac:dyDescent="0.2">
      <c r="A24" s="74">
        <f t="shared" si="13"/>
        <v>23</v>
      </c>
      <c r="B24" s="73">
        <f t="shared" si="14"/>
        <v>11500</v>
      </c>
      <c r="C24" s="73">
        <f t="shared" si="0"/>
        <v>299.66310559006206</v>
      </c>
      <c r="D24" s="54" t="str">
        <f t="shared" si="1"/>
        <v>0.000224252138641657-0.0000667267395730726i</v>
      </c>
      <c r="E24" s="54" t="str">
        <f t="shared" si="2"/>
        <v>0.946260289080358-0.552105191497926i</v>
      </c>
      <c r="F24" s="73" t="str">
        <f t="shared" si="3"/>
        <v>0.000175360714207919-0.000186951633826377i</v>
      </c>
      <c r="G24" s="73" t="str">
        <f t="shared" si="4"/>
        <v>0.0525491362180363-0.0560225071875482i</v>
      </c>
      <c r="H24" s="76">
        <f t="shared" si="5"/>
        <v>7.6811021532333656E-2</v>
      </c>
      <c r="I24" s="54" t="str">
        <f t="shared" si="6"/>
        <v>6.76532769556025-0.292591126191553i</v>
      </c>
      <c r="J24" s="78" t="str">
        <f t="shared" si="7"/>
        <v>0.184554603128245-0.38793582148652i</v>
      </c>
      <c r="K24" s="78" t="str">
        <f t="shared" si="8"/>
        <v>1.13506578898786-2.6785119963758i</v>
      </c>
      <c r="L24" s="78" t="str">
        <f t="shared" si="9"/>
        <v>-0.0904102308069414-0.204342723081109i</v>
      </c>
      <c r="M24" s="73">
        <f t="shared" si="10"/>
        <v>-13.016387965607787</v>
      </c>
      <c r="N24" s="73">
        <f t="shared" si="11"/>
        <v>66.133288707345173</v>
      </c>
      <c r="O24" s="73">
        <f t="shared" si="12"/>
        <v>66.133288707345173</v>
      </c>
    </row>
    <row r="25" spans="1:18" ht="15" x14ac:dyDescent="0.2">
      <c r="A25" s="74">
        <f t="shared" si="13"/>
        <v>24</v>
      </c>
      <c r="B25" s="73">
        <f t="shared" si="14"/>
        <v>12000</v>
      </c>
      <c r="C25" s="73">
        <f t="shared" si="0"/>
        <v>299.66310559006206</v>
      </c>
      <c r="D25" s="54" t="str">
        <f t="shared" si="1"/>
        <v>0.000224251775251981-0.0000639464587807705i</v>
      </c>
      <c r="E25" s="54" t="str">
        <f t="shared" si="2"/>
        <v>0.935474435292397-0.583455988747857i</v>
      </c>
      <c r="F25" s="73" t="str">
        <f t="shared" si="3"/>
        <v>0.000172471858482306-0.000190661318674997i</v>
      </c>
      <c r="G25" s="73" t="str">
        <f t="shared" si="4"/>
        <v>0.0516834527396975-0.0571341628700461i</v>
      </c>
      <c r="H25" s="76">
        <f t="shared" si="5"/>
        <v>7.7042143362951038E-2</v>
      </c>
      <c r="I25" s="54" t="str">
        <f t="shared" si="6"/>
        <v>6.76532769556026-0.280399829266905i</v>
      </c>
      <c r="J25" s="78" t="str">
        <f t="shared" si="7"/>
        <v>0.172086942026805-0.377455992680826i</v>
      </c>
      <c r="K25" s="78" t="str">
        <f t="shared" si="8"/>
        <v>1.05838595903474-2.60186663030216i</v>
      </c>
      <c r="L25" s="78" t="str">
        <f t="shared" si="9"/>
        <v>-0.0939544311276902-0.194943446785078i</v>
      </c>
      <c r="M25" s="73">
        <f t="shared" si="10"/>
        <v>-13.294722943073277</v>
      </c>
      <c r="N25" s="73">
        <f t="shared" si="11"/>
        <v>64.267915309454764</v>
      </c>
      <c r="O25" s="73">
        <f t="shared" si="12"/>
        <v>64.267915309454764</v>
      </c>
      <c r="P25" s="73">
        <v>-9.1029999999999998</v>
      </c>
      <c r="Q25" s="73">
        <v>72.905000000000001</v>
      </c>
      <c r="R25" s="73">
        <f>B25</f>
        <v>12000</v>
      </c>
    </row>
    <row r="26" spans="1:18" ht="15" x14ac:dyDescent="0.2">
      <c r="A26" s="74">
        <f t="shared" si="13"/>
        <v>25</v>
      </c>
      <c r="B26" s="73">
        <f t="shared" si="14"/>
        <v>12500</v>
      </c>
      <c r="C26" s="73">
        <f t="shared" si="0"/>
        <v>299.66310559006206</v>
      </c>
      <c r="D26" s="54" t="str">
        <f t="shared" si="1"/>
        <v>0.000224251454590745-0.000061388600449229i</v>
      </c>
      <c r="E26" s="54" t="str">
        <f t="shared" si="2"/>
        <v>0.923076923076923-0.615384615384615i</v>
      </c>
      <c r="F26" s="73" t="str">
        <f t="shared" si="3"/>
        <v>0.000169223742422701-0.000194667295547439i</v>
      </c>
      <c r="G26" s="73" t="str">
        <f t="shared" si="4"/>
        <v>0.0507101121939593-0.058334606340564i</v>
      </c>
      <c r="H26" s="76">
        <f t="shared" si="5"/>
        <v>7.7294513231098816E-2</v>
      </c>
      <c r="I26" s="54" t="str">
        <f t="shared" si="6"/>
        <v>6.76532769556024-0.269183836096229i</v>
      </c>
      <c r="J26" s="78" t="str">
        <f t="shared" si="7"/>
        <v>0.160764295960492-0.367313404472011i</v>
      </c>
      <c r="K26" s="78" t="str">
        <f t="shared" si="8"/>
        <v>0.988748312653418-2.52827069811897i</v>
      </c>
      <c r="L26" s="78" t="str">
        <f t="shared" si="9"/>
        <v>-0.0973461380309103-0.185887134346847i</v>
      </c>
      <c r="M26" s="73">
        <f t="shared" si="10"/>
        <v>-13.562483820494741</v>
      </c>
      <c r="N26" s="73">
        <f t="shared" si="11"/>
        <v>62.359663629770566</v>
      </c>
      <c r="O26" s="73">
        <f t="shared" si="12"/>
        <v>62.359663629770566</v>
      </c>
    </row>
    <row r="27" spans="1:18" ht="15" x14ac:dyDescent="0.2">
      <c r="A27" s="74">
        <f t="shared" si="13"/>
        <v>26</v>
      </c>
      <c r="B27" s="73">
        <f t="shared" si="14"/>
        <v>13000</v>
      </c>
      <c r="C27" s="73">
        <f t="shared" si="0"/>
        <v>299.66310559006206</v>
      </c>
      <c r="D27" s="54" t="str">
        <f t="shared" si="1"/>
        <v>0.000224251170212515-0.0000590275004487408i</v>
      </c>
      <c r="E27" s="54" t="str">
        <f t="shared" si="2"/>
        <v>0.908914055000462-0.647800587445505i</v>
      </c>
      <c r="F27" s="73" t="str">
        <f t="shared" si="3"/>
        <v>0.000165586990990322-0.000198920964588416i</v>
      </c>
      <c r="G27" s="73" t="str">
        <f t="shared" si="4"/>
        <v>0.0496203119654735-0.0596092740155355i</v>
      </c>
      <c r="H27" s="76">
        <f t="shared" si="5"/>
        <v>7.7559273515229038E-2</v>
      </c>
      <c r="I27" s="54" t="str">
        <f t="shared" si="6"/>
        <v>6.76532769556026-0.258830611630989i</v>
      </c>
      <c r="J27" s="78" t="str">
        <f t="shared" si="7"/>
        <v>0.150460514179789-0.357522234067397i</v>
      </c>
      <c r="K27" s="78" t="str">
        <f t="shared" si="8"/>
        <v>0.925376985153422-2.45769885882621i</v>
      </c>
      <c r="L27" s="78" t="str">
        <f t="shared" si="9"/>
        <v>-0.100584150034458-0.177112834367825i</v>
      </c>
      <c r="M27" s="73">
        <f t="shared" si="10"/>
        <v>-13.820971039784771</v>
      </c>
      <c r="N27" s="73">
        <f t="shared" si="11"/>
        <v>60.407323827569982</v>
      </c>
      <c r="O27" s="73">
        <f t="shared" si="12"/>
        <v>60.407323827569982</v>
      </c>
    </row>
    <row r="28" spans="1:18" ht="15" x14ac:dyDescent="0.2">
      <c r="A28" s="74">
        <f t="shared" si="13"/>
        <v>27</v>
      </c>
      <c r="B28" s="73">
        <f t="shared" si="14"/>
        <v>13500</v>
      </c>
      <c r="C28" s="73">
        <f t="shared" si="0"/>
        <v>299.66310559006206</v>
      </c>
      <c r="D28" s="54" t="str">
        <f t="shared" si="1"/>
        <v>0.000224250916842904-0.0000568412967428224i</v>
      </c>
      <c r="E28" s="54" t="str">
        <f t="shared" si="2"/>
        <v>0.89283175581238-0.680588859597241i</v>
      </c>
      <c r="F28" s="73" t="str">
        <f t="shared" si="3"/>
        <v>0.00016153278649916-0.000203372390531294i</v>
      </c>
      <c r="G28" s="73" t="str">
        <f t="shared" si="4"/>
        <v>0.0484054164569547-0.0609432021378825i</v>
      </c>
      <c r="H28" s="76">
        <f t="shared" si="5"/>
        <v>7.7827747167639558E-2</v>
      </c>
      <c r="I28" s="54" t="str">
        <f t="shared" si="6"/>
        <v>6.76532769556024-0.249244292681693i</v>
      </c>
      <c r="J28" s="78" t="str">
        <f t="shared" si="7"/>
        <v>0.141064767476318-0.348088349206305i</v>
      </c>
      <c r="K28" s="78" t="str">
        <f t="shared" si="8"/>
        <v>0.867590343886636-2.3900913375792i</v>
      </c>
      <c r="L28" s="78" t="str">
        <f t="shared" si="9"/>
        <v>-0.103663747604226-0.168567100266039i</v>
      </c>
      <c r="M28" s="73">
        <f t="shared" si="10"/>
        <v>-14.071457847129565</v>
      </c>
      <c r="N28" s="73">
        <f t="shared" si="11"/>
        <v>58.409722119820302</v>
      </c>
      <c r="O28" s="73">
        <f t="shared" si="12"/>
        <v>58.409722119820302</v>
      </c>
    </row>
    <row r="29" spans="1:18" ht="15" x14ac:dyDescent="0.2">
      <c r="A29" s="74">
        <f t="shared" si="13"/>
        <v>28</v>
      </c>
      <c r="B29" s="73">
        <f t="shared" si="14"/>
        <v>14000.000000000002</v>
      </c>
      <c r="C29" s="73">
        <f t="shared" si="0"/>
        <v>299.66310559006206</v>
      </c>
      <c r="D29" s="54" t="str">
        <f t="shared" si="1"/>
        <v>0.000224250690132222-0.0000548112504430078i</v>
      </c>
      <c r="E29" s="54" t="str">
        <f t="shared" si="2"/>
        <v>0.874679080449271-0.713607641392179i</v>
      </c>
      <c r="F29" s="73" t="str">
        <f t="shared" si="3"/>
        <v>0.000157033660284575-0.000207969260201588i</v>
      </c>
      <c r="G29" s="73" t="str">
        <f t="shared" si="4"/>
        <v>0.0470571943230505-0.0623207143792756i</v>
      </c>
      <c r="H29" s="76">
        <f t="shared" si="5"/>
        <v>7.8091298992273045E-2</v>
      </c>
      <c r="I29" s="54" t="str">
        <f t="shared" si="6"/>
        <v>6.76532769556027-0.240342710800204i</v>
      </c>
      <c r="J29" s="78" t="str">
        <f t="shared" si="7"/>
        <v>0.132479677693031-0.339011522947793i</v>
      </c>
      <c r="K29" s="78" t="str">
        <f t="shared" si="8"/>
        <v>0.814789484177783-2.32536457017545i</v>
      </c>
      <c r="L29" s="78" t="str">
        <f t="shared" si="9"/>
        <v>-0.106576674116259-0.160203395173364i</v>
      </c>
      <c r="M29" s="73">
        <f t="shared" si="10"/>
        <v>-14.315200024033905</v>
      </c>
      <c r="N29" s="73">
        <f t="shared" si="11"/>
        <v>56.365824627190307</v>
      </c>
      <c r="O29" s="73">
        <f t="shared" si="12"/>
        <v>56.365824627190307</v>
      </c>
    </row>
    <row r="30" spans="1:18" ht="15" x14ac:dyDescent="0.2">
      <c r="A30" s="74">
        <f t="shared" si="13"/>
        <v>29</v>
      </c>
      <c r="B30" s="73">
        <f t="shared" si="14"/>
        <v>14499.999999999998</v>
      </c>
      <c r="C30" s="73">
        <f t="shared" si="0"/>
        <v>299.66310559006206</v>
      </c>
      <c r="D30" s="54" t="str">
        <f t="shared" si="1"/>
        <v>0.00022425048646756-0.0000529212073350639i</v>
      </c>
      <c r="E30" s="54" t="str">
        <f t="shared" si="2"/>
        <v>0.854312480830752-0.74668661675985i</v>
      </c>
      <c r="F30" s="73" t="str">
        <f t="shared" si="3"/>
        <v>0.000152064432161739-0.00021265608497419i</v>
      </c>
      <c r="G30" s="73" t="str">
        <f t="shared" si="4"/>
        <v>0.045568099991376-0.0637251828459899i</v>
      </c>
      <c r="H30" s="76">
        <f t="shared" si="5"/>
        <v>7.834124498359013E-2</v>
      </c>
      <c r="I30" s="54" t="str">
        <f t="shared" si="6"/>
        <v>6.76532769556026-0.232055031117439i</v>
      </c>
      <c r="J30" s="78" t="str">
        <f t="shared" si="7"/>
        <v>0.124619634656656-0.330287119510734i</v>
      </c>
      <c r="K30" s="78" t="str">
        <f t="shared" si="8"/>
        <v>0.766447877957523-2.26341921031088i</v>
      </c>
      <c r="L30" s="78" t="str">
        <f t="shared" si="9"/>
        <v>-0.109311229493241-0.151981744062612i</v>
      </c>
      <c r="M30" s="73">
        <f t="shared" si="10"/>
        <v>-14.553442514788038</v>
      </c>
      <c r="N30" s="73">
        <f t="shared" si="11"/>
        <v>54.274831000823212</v>
      </c>
      <c r="O30" s="73">
        <f t="shared" si="12"/>
        <v>54.274831000823212</v>
      </c>
    </row>
    <row r="31" spans="1:18" ht="15" x14ac:dyDescent="0.2">
      <c r="A31" s="74">
        <f t="shared" si="13"/>
        <v>30</v>
      </c>
      <c r="B31" s="73">
        <f t="shared" si="14"/>
        <v>15000</v>
      </c>
      <c r="C31" s="73">
        <f t="shared" si="0"/>
        <v>299.66310559006206</v>
      </c>
      <c r="D31" s="54" t="str">
        <f t="shared" si="1"/>
        <v>0.000224250302827938-0.0000511571670999583i</v>
      </c>
      <c r="E31" s="54" t="str">
        <f t="shared" si="2"/>
        <v>0.831600831600832-0.77962577962578i</v>
      </c>
      <c r="F31" s="73" t="str">
        <f t="shared" si="3"/>
        <v>0.0001466032920347-0.000217373659876216i</v>
      </c>
      <c r="G31" s="73" t="str">
        <f t="shared" si="4"/>
        <v>0.043931597780845-0.0651388659919847i</v>
      </c>
      <c r="H31" s="76">
        <f t="shared" si="5"/>
        <v>7.8568805172916353E-2</v>
      </c>
      <c r="I31" s="54" t="str">
        <f t="shared" si="6"/>
        <v>6.76532769556025-0.224319863413524i</v>
      </c>
      <c r="J31" s="78" t="str">
        <f t="shared" si="7"/>
        <v>0.11740930166522-0.321907374174164i</v>
      </c>
      <c r="K31" s="78" t="str">
        <f t="shared" si="8"/>
        <v>0.722102182065546-2.20414611241857i</v>
      </c>
      <c r="L31" s="78" t="str">
        <f t="shared" si="9"/>
        <v>-0.111852475624413-0.143868577731073i</v>
      </c>
      <c r="M31" s="73">
        <f t="shared" si="10"/>
        <v>-14.787423191475908</v>
      </c>
      <c r="N31" s="73">
        <f t="shared" si="11"/>
        <v>52.136260598167127</v>
      </c>
      <c r="O31" s="73">
        <f t="shared" si="12"/>
        <v>52.136260598167127</v>
      </c>
    </row>
    <row r="32" spans="1:18" ht="15" x14ac:dyDescent="0.2">
      <c r="A32" s="74">
        <f t="shared" si="13"/>
        <v>31</v>
      </c>
      <c r="B32" s="73">
        <f t="shared" si="14"/>
        <v>15500</v>
      </c>
      <c r="C32" s="73">
        <f t="shared" si="0"/>
        <v>299.66310559006206</v>
      </c>
      <c r="D32" s="54" t="str">
        <f t="shared" si="1"/>
        <v>0.000224250136671634-0.0000495069359114131i</v>
      </c>
      <c r="E32" s="54" t="str">
        <f t="shared" si="2"/>
        <v>0.80643116012275-0.812195125529735i</v>
      </c>
      <c r="F32" s="73" t="str">
        <f t="shared" si="3"/>
        <v>0.000140633005846628-0.000222058803665242i</v>
      </c>
      <c r="G32" s="73" t="str">
        <f t="shared" si="4"/>
        <v>0.0421425232804659-0.0665428307299403i</v>
      </c>
      <c r="H32" s="76">
        <f t="shared" si="5"/>
        <v>7.8765097536904624E-2</v>
      </c>
      <c r="I32" s="54" t="str">
        <f t="shared" si="6"/>
        <v>6.76532769556025-0.217083738787282i</v>
      </c>
      <c r="J32" s="78" t="str">
        <f t="shared" si="7"/>
        <v>0.110782300440295-0.313862362110291i</v>
      </c>
      <c r="K32" s="78" t="str">
        <f t="shared" si="8"/>
        <v>0.681344150315095-2.14743076694975i</v>
      </c>
      <c r="L32" s="78" t="str">
        <f t="shared" si="9"/>
        <v>-0.11418256031274-0.135836719552621i</v>
      </c>
      <c r="M32" s="73">
        <f t="shared" si="10"/>
        <v>-15.01837387164702</v>
      </c>
      <c r="N32" s="73">
        <f t="shared" si="11"/>
        <v>49.950032497648891</v>
      </c>
      <c r="O32" s="73">
        <f t="shared" si="12"/>
        <v>49.950032497648891</v>
      </c>
    </row>
    <row r="33" spans="1:18" ht="15" x14ac:dyDescent="0.2">
      <c r="A33" s="74">
        <f t="shared" si="13"/>
        <v>32</v>
      </c>
      <c r="B33" s="73">
        <f t="shared" si="14"/>
        <v>16000</v>
      </c>
      <c r="C33" s="73">
        <f t="shared" si="0"/>
        <v>299.66310559006206</v>
      </c>
      <c r="D33" s="54" t="str">
        <f t="shared" si="1"/>
        <v>0.000224249985847762-0.0000479598441714168i</v>
      </c>
      <c r="E33" s="54" t="str">
        <f t="shared" si="2"/>
        <v>0.778714955716654-0.844135453351387i</v>
      </c>
      <c r="F33" s="73" t="str">
        <f t="shared" si="3"/>
        <v>0.000134142212996599-0.000226644411397765i</v>
      </c>
      <c r="G33" s="73" t="str">
        <f t="shared" si="4"/>
        <v>0.0401974721372844-0.0679169681840859i</v>
      </c>
      <c r="H33" s="76">
        <f t="shared" si="5"/>
        <v>7.892117164326623E-2</v>
      </c>
      <c r="I33" s="54" t="str">
        <f t="shared" si="6"/>
        <v>6.76532769556026-0.210299871950179i</v>
      </c>
      <c r="J33" s="78" t="str">
        <f t="shared" si="7"/>
        <v>0.104680061227228-0.306140729091527i</v>
      </c>
      <c r="K33" s="78" t="str">
        <f t="shared" si="8"/>
        <v>0.643813561266827-2.09315655673374i</v>
      </c>
      <c r="L33" s="78" t="str">
        <f t="shared" si="9"/>
        <v>-0.116281169577367-0.127865467525321i</v>
      </c>
      <c r="M33" s="73">
        <f t="shared" si="10"/>
        <v>-15.247518638516311</v>
      </c>
      <c r="N33" s="73">
        <f t="shared" si="11"/>
        <v>47.716539409477264</v>
      </c>
      <c r="O33" s="73">
        <f t="shared" si="12"/>
        <v>47.716539409477264</v>
      </c>
    </row>
    <row r="34" spans="1:18" ht="15" x14ac:dyDescent="0.2">
      <c r="A34" s="74">
        <f t="shared" si="13"/>
        <v>33</v>
      </c>
      <c r="B34" s="73">
        <f t="shared" si="14"/>
        <v>16500</v>
      </c>
      <c r="C34" s="73">
        <f t="shared" ref="C34:C65" si="15">_ta1*_ta2*(rload/RS)</f>
        <v>299.66310559006206</v>
      </c>
      <c r="D34" s="54" t="str">
        <f t="shared" ref="D34:D65" si="16">IMDIV((COMPLEX(1,2*PI()*(B34)*(esrcout*0.001)*(cout*0.000001))),(COMPLEX(1,2*PI()*(B34)*rload*(cout*0.000001))))</f>
        <v>0.000224249848526305-0.0000465065155665495i</v>
      </c>
      <c r="E34" s="54" t="str">
        <f t="shared" ref="E34:E65" si="17">IMDIV(1,(COMPLEX((1-(B34/(fpp*1000))^2),(B34/(fpp*1000)))))</f>
        <v>0.748394849515882-0.875160525656418i</v>
      </c>
      <c r="F34" s="73" t="str">
        <f t="shared" ref="F34:F65" si="18">IMPRODUCT(D34,E34)</f>
        <v>0.000127126765032134-0.000231059852033589i</v>
      </c>
      <c r="G34" s="73" t="str">
        <f t="shared" ref="G34:G65" si="19">IMPRODUCT(C34,F34)</f>
        <v>0.0380952012131474-0.0692401128375655i</v>
      </c>
      <c r="H34" s="76">
        <f t="shared" ref="H34:H65" si="20">IMABS(G34)</f>
        <v>7.9028080966381753E-2</v>
      </c>
      <c r="I34" s="54" t="str">
        <f t="shared" ref="I34:I65" si="21">IMDIV((COMPLEX(1,(2*PI()*B34*(rf*1000)*(Cz*0.000000001)))),(COMPLEX(0,2*PI()*B34*((Cz*0.000000001)+(Cp*0.000000000001))*(RII*1000))))</f>
        <v>6.76532769556025-0.203927148557749i</v>
      </c>
      <c r="J34" s="78" t="str">
        <f t="shared" ref="J34:J65" si="22">IMDIV(1,(COMPLEX(1,2*PI()*B34*(((Cz*0.000000001)*(Cp*0.000000000001))/((Cz*0.000000001)+(Cp*0.000000000001)))*(rf*1000))))</f>
        <v>0.0990508215711804-0.298730240044851i</v>
      </c>
      <c r="K34" s="78" t="str">
        <f t="shared" ref="K34:K65" si="23">IMPRODUCT(I34,J34)</f>
        <v>0.609192060403185-2.04120711808211i</v>
      </c>
      <c r="L34" s="78" t="str">
        <f t="shared" ref="L34:L65" si="24">IMPRODUCT(G34,K34)</f>
        <v>-0.118126117062336-0.119940722883112i</v>
      </c>
      <c r="M34" s="73">
        <f t="shared" ref="M34:M65" si="25">20*LOG(IMABS(L34))</f>
        <v>-15.476069499470233</v>
      </c>
      <c r="N34" s="73">
        <f t="shared" ref="N34:N65" si="26">(180/PI())*IMARGUMENT(L34)+180</f>
        <v>45.436714502573238</v>
      </c>
      <c r="O34" s="73">
        <f t="shared" si="12"/>
        <v>45.436714502573238</v>
      </c>
    </row>
    <row r="35" spans="1:18" ht="15" x14ac:dyDescent="0.2">
      <c r="A35" s="74">
        <f t="shared" si="13"/>
        <v>34</v>
      </c>
      <c r="B35" s="73">
        <f t="shared" si="14"/>
        <v>17000</v>
      </c>
      <c r="C35" s="73">
        <f t="shared" si="15"/>
        <v>299.66310559006206</v>
      </c>
      <c r="D35" s="54" t="str">
        <f t="shared" si="16"/>
        <v>0.000224249723142347-0.0000451386768790765i</v>
      </c>
      <c r="E35" s="54" t="str">
        <f t="shared" si="17"/>
        <v>0.715451364638305-0.904960803485952i</v>
      </c>
      <c r="F35" s="73" t="str">
        <f t="shared" si="18"/>
        <v>0.000119591037145172-0.000235231737607503i</v>
      </c>
      <c r="G35" s="73" t="str">
        <f t="shared" si="19"/>
        <v>0.0358370215916587-0.0704902730248109i</v>
      </c>
      <c r="H35" s="76">
        <f t="shared" si="20"/>
        <v>7.907699227761128E-2</v>
      </c>
      <c r="I35" s="54" t="str">
        <f t="shared" si="21"/>
        <v>6.76532769556026-0.197929291247227i</v>
      </c>
      <c r="J35" s="78" t="str">
        <f t="shared" si="22"/>
        <v>0.0938487569682106-0.291618188362338i</v>
      </c>
      <c r="K35" s="78" t="str">
        <f t="shared" si="23"/>
        <v>0.577197813373581-1.99146802420799i</v>
      </c>
      <c r="L35" s="78" t="str">
        <f t="shared" si="24"/>
        <v>-0.119694074246075-0.112055114036667i</v>
      </c>
      <c r="M35" s="73">
        <f t="shared" si="25"/>
        <v>-15.705219449959596</v>
      </c>
      <c r="N35" s="73">
        <f t="shared" si="26"/>
        <v>43.112089313684351</v>
      </c>
      <c r="O35" s="73">
        <f t="shared" si="12"/>
        <v>43.112089313684351</v>
      </c>
    </row>
    <row r="36" spans="1:18" ht="15" x14ac:dyDescent="0.2">
      <c r="A36" s="74">
        <f t="shared" si="13"/>
        <v>35</v>
      </c>
      <c r="B36" s="73">
        <f t="shared" ref="B36:B67" si="27">(fs*1000/2)*(A36/100)</f>
        <v>17500</v>
      </c>
      <c r="C36" s="73">
        <f t="shared" si="15"/>
        <v>299.66310559006206</v>
      </c>
      <c r="D36" s="54" t="str">
        <f t="shared" si="16"/>
        <v>0.000224249608351291-0.0000438490004018518i</v>
      </c>
      <c r="E36" s="54" t="str">
        <f t="shared" si="17"/>
        <v>0.679909345420611-0.933208905479269i</v>
      </c>
      <c r="F36" s="73" t="str">
        <f t="shared" si="18"/>
        <v>0.000111549126753582-0.000239085076724234i</v>
      </c>
      <c r="G36" s="73" t="str">
        <f t="shared" si="19"/>
        <v>0.0334271577488379-0.0716449765914222i</v>
      </c>
      <c r="H36" s="76">
        <f t="shared" si="20"/>
        <v>7.9059329278404131E-2</v>
      </c>
      <c r="I36" s="54" t="str">
        <f t="shared" si="21"/>
        <v>6.76532769556026-0.192274168640164i</v>
      </c>
      <c r="J36" s="78" t="str">
        <f t="shared" si="22"/>
        <v>0.0890332272957395-0.284791698848553i</v>
      </c>
      <c r="K36" s="78" t="str">
        <f t="shared" si="23"/>
        <v>0.547580871317253-1.94382795744541i</v>
      </c>
      <c r="L36" s="78" t="str">
        <f t="shared" si="24"/>
        <v>-0.120961436343161-0.104208062477564i</v>
      </c>
      <c r="M36" s="73">
        <f t="shared" si="25"/>
        <v>-15.93613308174527</v>
      </c>
      <c r="N36" s="73">
        <f t="shared" si="26"/>
        <v>40.744840252937962</v>
      </c>
      <c r="O36" s="73">
        <f t="shared" si="12"/>
        <v>40.744840252937962</v>
      </c>
    </row>
    <row r="37" spans="1:18" ht="15" x14ac:dyDescent="0.2">
      <c r="A37" s="74">
        <f t="shared" si="13"/>
        <v>36</v>
      </c>
      <c r="B37" s="73">
        <f t="shared" si="27"/>
        <v>18000</v>
      </c>
      <c r="C37" s="73">
        <f t="shared" si="15"/>
        <v>299.66310559006206</v>
      </c>
      <c r="D37" s="54" t="str">
        <f t="shared" si="16"/>
        <v>0.000224249502992654-0.000042630972617404i</v>
      </c>
      <c r="E37" s="54" t="str">
        <f t="shared" si="17"/>
        <v>0.641843596575924-0.959566838734771i</v>
      </c>
      <c r="F37" s="73" t="str">
        <f t="shared" si="18"/>
        <v>0.000103025839904498-0.000242544803464789i</v>
      </c>
      <c r="G37" s="73" t="str">
        <f t="shared" si="19"/>
        <v>0.0308730431418064-0.0726817290509899i</v>
      </c>
      <c r="H37" s="76">
        <f t="shared" si="20"/>
        <v>7.8966945810746328E-2</v>
      </c>
      <c r="I37" s="54" t="str">
        <f t="shared" si="21"/>
        <v>6.76532769556025-0.18693321951127i</v>
      </c>
      <c r="J37" s="78" t="str">
        <f t="shared" si="22"/>
        <v>0.0845681241680353-0.278237949501385i</v>
      </c>
      <c r="K37" s="78" t="str">
        <f t="shared" si="23"/>
        <v>0.520119156905079-1.89817949743637i</v>
      </c>
      <c r="L37" s="78" t="str">
        <f t="shared" si="24"/>
        <v>-0.121905306752804-0.0964057371516497i</v>
      </c>
      <c r="M37" s="73">
        <f t="shared" si="25"/>
        <v>-16.169934980972958</v>
      </c>
      <c r="N37" s="73">
        <f t="shared" si="26"/>
        <v>38.337820810988603</v>
      </c>
      <c r="O37" s="73">
        <f t="shared" si="12"/>
        <v>38.337820810988603</v>
      </c>
    </row>
    <row r="38" spans="1:18" ht="15" x14ac:dyDescent="0.2">
      <c r="A38" s="74">
        <f t="shared" si="13"/>
        <v>37</v>
      </c>
      <c r="B38" s="73">
        <f t="shared" si="27"/>
        <v>18500</v>
      </c>
      <c r="C38" s="73">
        <f t="shared" si="15"/>
        <v>299.66310559006206</v>
      </c>
      <c r="D38" s="54" t="str">
        <f t="shared" si="16"/>
        <v>0.000224249406060627-0.0000414787841723066i</v>
      </c>
      <c r="E38" s="54" t="str">
        <f t="shared" si="17"/>
        <v>0.601383213294196-0.983694911223927i</v>
      </c>
      <c r="F38" s="73" t="str">
        <f t="shared" si="18"/>
        <v>0.0000940573594820012-0.000245537644095905i</v>
      </c>
      <c r="G38" s="73" t="str">
        <f t="shared" si="19"/>
        <v>0.0281855204459774-0.0735785729690463i</v>
      </c>
      <c r="H38" s="76">
        <f t="shared" si="20"/>
        <v>7.8792321725989781E-2</v>
      </c>
      <c r="I38" s="54" t="str">
        <f t="shared" si="21"/>
        <v>6.76532769556026-0.18188097033529i</v>
      </c>
      <c r="J38" s="78" t="str">
        <f t="shared" si="22"/>
        <v>0.080421305834284-0.271944331439713i</v>
      </c>
      <c r="K38" s="78" t="str">
        <f t="shared" si="23"/>
        <v>0.494614988794367-1.85441962228048i</v>
      </c>
      <c r="L38" s="78" t="str">
        <f t="shared" si="24"/>
        <v>-0.122504568613645-0.0886608472237985i</v>
      </c>
      <c r="M38" s="73">
        <f t="shared" si="25"/>
        <v>-16.407696293864763</v>
      </c>
      <c r="N38" s="73">
        <f t="shared" si="26"/>
        <v>35.894576457645059</v>
      </c>
      <c r="O38" s="73">
        <f t="shared" si="12"/>
        <v>35.894576457645059</v>
      </c>
    </row>
    <row r="39" spans="1:18" ht="15" x14ac:dyDescent="0.2">
      <c r="A39" s="74">
        <f t="shared" si="13"/>
        <v>38</v>
      </c>
      <c r="B39" s="73">
        <f t="shared" si="27"/>
        <v>19000</v>
      </c>
      <c r="C39" s="73">
        <f t="shared" si="15"/>
        <v>299.66310559006206</v>
      </c>
      <c r="D39" s="54" t="str">
        <f t="shared" si="16"/>
        <v>0.000224249316679977-0.0000403872372240144i</v>
      </c>
      <c r="E39" s="54" t="str">
        <f t="shared" si="17"/>
        <v>0.558714077224444-1.00526207076368i</v>
      </c>
      <c r="F39" s="73" t="str">
        <f t="shared" si="18"/>
        <v>0.0000846914923128288-0.000247994250430314i</v>
      </c>
      <c r="G39" s="73" t="str">
        <f t="shared" si="19"/>
        <v>0.0253789156035191-0.0743147272524275i</v>
      </c>
      <c r="H39" s="76">
        <f t="shared" si="20"/>
        <v>7.8528772076311218E-2</v>
      </c>
      <c r="I39" s="54" t="str">
        <f t="shared" si="21"/>
        <v>6.76532769556025-0.177094629010677i</v>
      </c>
      <c r="J39" s="78" t="str">
        <f t="shared" si="22"/>
        <v>0.0765641077573243-0.265898561787478i</v>
      </c>
      <c r="K39" s="78" t="str">
        <f t="shared" si="23"/>
        <v>0.47089207154226-1.81244999652928i</v>
      </c>
      <c r="L39" s="78" t="str">
        <f t="shared" si="24"/>
        <v>-0.122740997008699-0.0809922313595087i</v>
      </c>
      <c r="M39" s="73">
        <f t="shared" si="25"/>
        <v>-16.650419983306708</v>
      </c>
      <c r="N39" s="73">
        <f t="shared" si="26"/>
        <v>33.419339448464484</v>
      </c>
      <c r="O39" s="73">
        <f t="shared" si="12"/>
        <v>33.419339448464484</v>
      </c>
    </row>
    <row r="40" spans="1:18" ht="15" x14ac:dyDescent="0.2">
      <c r="A40" s="74">
        <f t="shared" si="13"/>
        <v>39</v>
      </c>
      <c r="B40" s="73">
        <f t="shared" si="27"/>
        <v>19500</v>
      </c>
      <c r="C40" s="73">
        <f t="shared" si="15"/>
        <v>299.66310559006206</v>
      </c>
      <c r="D40" s="54" t="str">
        <f t="shared" si="16"/>
        <v>0.000224249234086224-0.0000393516670420342i</v>
      </c>
      <c r="E40" s="54" t="str">
        <f t="shared" si="17"/>
        <v>0.514079044457808-1.02395723870554i</v>
      </c>
      <c r="F40" s="73" t="str">
        <f t="shared" si="18"/>
        <v>0.0000749874076566202-0.000249851493907553i</v>
      </c>
      <c r="G40" s="73" t="str">
        <f t="shared" si="19"/>
        <v>0.0224709594585308-0.0748712746006538i</v>
      </c>
      <c r="H40" s="76">
        <f t="shared" si="20"/>
        <v>7.8170658045800298E-2</v>
      </c>
      <c r="I40" s="54" t="str">
        <f t="shared" si="21"/>
        <v>6.76532769556025-0.172553741087326i</v>
      </c>
      <c r="J40" s="78" t="str">
        <f t="shared" si="22"/>
        <v>0.0729709184766679-0.260088760874705i</v>
      </c>
      <c r="K40" s="78" t="str">
        <f t="shared" si="23"/>
        <v>0.448792887036973-1.77217710222332i</v>
      </c>
      <c r="L40" s="78" t="str">
        <f t="shared" si="24"/>
        <v>-0.122600351691668-0.0734242153015622i</v>
      </c>
      <c r="M40" s="73">
        <f t="shared" si="25"/>
        <v>-16.899025441730771</v>
      </c>
      <c r="N40" s="73">
        <f t="shared" si="26"/>
        <v>30.917001353698168</v>
      </c>
      <c r="O40" s="73">
        <f t="shared" si="12"/>
        <v>30.917001353698168</v>
      </c>
    </row>
    <row r="41" spans="1:18" ht="15" x14ac:dyDescent="0.2">
      <c r="A41" s="74">
        <f t="shared" si="13"/>
        <v>40</v>
      </c>
      <c r="B41" s="73">
        <f t="shared" si="27"/>
        <v>20000</v>
      </c>
      <c r="C41" s="73">
        <f t="shared" si="15"/>
        <v>299.66310559006206</v>
      </c>
      <c r="D41" s="54" t="str">
        <f t="shared" si="16"/>
        <v>0.000224249157609235-0.0000383678753689182i</v>
      </c>
      <c r="E41" s="54" t="str">
        <f t="shared" si="17"/>
        <v>0.467775467775468-1.03950103950104i</v>
      </c>
      <c r="F41" s="73" t="str">
        <f t="shared" si="18"/>
        <v>0.0000650148082694777-0.000251054783290279i</v>
      </c>
      <c r="G41" s="73" t="str">
        <f t="shared" si="19"/>
        <v>0.0194825393553741-0.075231856034005i</v>
      </c>
      <c r="H41" s="76">
        <f t="shared" si="20"/>
        <v>7.7713586341481872E-2</v>
      </c>
      <c r="I41" s="54" t="str">
        <f t="shared" si="21"/>
        <v>6.76532769556026-0.168239897560143i</v>
      </c>
      <c r="J41" s="78" t="str">
        <f t="shared" si="22"/>
        <v>0.0696188117156935-0.254503502472929i</v>
      </c>
      <c r="K41" s="78" t="str">
        <f t="shared" si="23"/>
        <v>0.428176431847433-1.7335122556485i</v>
      </c>
      <c r="L41" s="78" t="str">
        <f t="shared" si="24"/>
        <v>-0.12207338026562-0.0659857284215953i</v>
      </c>
      <c r="M41" s="73">
        <f t="shared" si="25"/>
        <v>-17.154333245003858</v>
      </c>
      <c r="N41" s="73">
        <f t="shared" si="26"/>
        <v>28.393062088543502</v>
      </c>
      <c r="O41" s="73">
        <f t="shared" si="12"/>
        <v>28.393062088543502</v>
      </c>
    </row>
    <row r="42" spans="1:18" ht="15" x14ac:dyDescent="0.2">
      <c r="A42" s="74">
        <f t="shared" si="13"/>
        <v>41</v>
      </c>
      <c r="B42" s="73">
        <f t="shared" si="27"/>
        <v>20500</v>
      </c>
      <c r="C42" s="73">
        <f t="shared" si="15"/>
        <v>299.66310559006206</v>
      </c>
      <c r="D42" s="54" t="str">
        <f t="shared" si="16"/>
        <v>0.000224249086659593-0.0000374320735333083i</v>
      </c>
      <c r="E42" s="54" t="str">
        <f t="shared" si="17"/>
        <v>0.420149875001565-1.05165719627986i</v>
      </c>
      <c r="F42" s="73" t="str">
        <f t="shared" si="18"/>
        <v>0.0000548525162262626-0.000251560246760816i</v>
      </c>
      <c r="G42" s="73" t="str">
        <f t="shared" si="19"/>
        <v>0.0164372753617911-0.0753833247873485i</v>
      </c>
      <c r="H42" s="76">
        <f t="shared" si="20"/>
        <v>7.7154582996178611E-2</v>
      </c>
      <c r="I42" s="54" t="str">
        <f t="shared" si="21"/>
        <v>6.76532769556025-0.16413648542453i</v>
      </c>
      <c r="J42" s="78" t="str">
        <f t="shared" si="22"/>
        <v>0.0664872269157724-0.249131843755115i</v>
      </c>
      <c r="K42" s="78" t="str">
        <f t="shared" si="23"/>
        <v>0.408916252412976-1.69637154215405i</v>
      </c>
      <c r="L42" s="78" t="str">
        <f t="shared" si="24"/>
        <v>-0.12115665788139-0.0587091928207651i</v>
      </c>
      <c r="M42" s="73">
        <f t="shared" si="25"/>
        <v>-17.417050908348337</v>
      </c>
      <c r="N42" s="73">
        <f t="shared" si="26"/>
        <v>25.853555504183362</v>
      </c>
      <c r="O42" s="73">
        <f t="shared" si="12"/>
        <v>25.853555504183362</v>
      </c>
    </row>
    <row r="43" spans="1:18" ht="15" x14ac:dyDescent="0.2">
      <c r="A43" s="74">
        <f t="shared" si="13"/>
        <v>42</v>
      </c>
      <c r="B43" s="73">
        <f t="shared" si="27"/>
        <v>21000</v>
      </c>
      <c r="C43" s="73">
        <f t="shared" si="15"/>
        <v>299.66310559006206</v>
      </c>
      <c r="D43" s="54" t="str">
        <f t="shared" si="16"/>
        <v>0.000224249020717204-0.0000365408336896873i</v>
      </c>
      <c r="E43" s="54" t="str">
        <f t="shared" si="17"/>
        <v>0.371589855273829-1.06024279358022i</v>
      </c>
      <c r="F43" s="73" t="str">
        <f t="shared" si="18"/>
        <v>0.0000445865055626994-0.000251336611285173i</v>
      </c>
      <c r="G43" s="73" t="str">
        <f t="shared" si="19"/>
        <v>0.0133609307243271-0.0753163094861972i</v>
      </c>
      <c r="H43" s="76">
        <f t="shared" si="20"/>
        <v>7.6492228000241344E-2</v>
      </c>
      <c r="I43" s="54" t="str">
        <f t="shared" si="21"/>
        <v>6.76532769556025-0.160228473866803i</v>
      </c>
      <c r="J43" s="78" t="str">
        <f t="shared" si="22"/>
        <v>0.0635576914635735-0.243963340113622i</v>
      </c>
      <c r="K43" s="78" t="str">
        <f t="shared" si="23"/>
        <v>0.390898736658534-1.66067569347778i</v>
      </c>
      <c r="L43" s="78" t="str">
        <f t="shared" si="24"/>
        <v>-0.119853193545456-0.0516292231240681i</v>
      </c>
      <c r="M43" s="73">
        <f t="shared" si="25"/>
        <v>-17.687760520779399</v>
      </c>
      <c r="N43" s="73">
        <f t="shared" si="26"/>
        <v>23.304953093767892</v>
      </c>
      <c r="O43" s="73">
        <f t="shared" si="12"/>
        <v>23.304953093767892</v>
      </c>
    </row>
    <row r="44" spans="1:18" ht="15" x14ac:dyDescent="0.2">
      <c r="A44" s="74">
        <f t="shared" si="13"/>
        <v>43</v>
      </c>
      <c r="B44" s="73">
        <f t="shared" si="27"/>
        <v>21500</v>
      </c>
      <c r="C44" s="73">
        <f t="shared" si="15"/>
        <v>299.66310559006206</v>
      </c>
      <c r="D44" s="54" t="str">
        <f t="shared" si="16"/>
        <v>0.000224248959321735-0.0000356910468618863i</v>
      </c>
      <c r="E44" s="54" t="str">
        <f t="shared" si="17"/>
        <v>0.322513460849838-1.0651366218543i</v>
      </c>
      <c r="F44" s="73" t="str">
        <f t="shared" si="18"/>
        <v>0.0000343074668779142-0.000250366622031076i</v>
      </c>
      <c r="G44" s="73" t="str">
        <f t="shared" si="19"/>
        <v>0.010280682069564-0.0750256394939255i</v>
      </c>
      <c r="H44" s="76">
        <f t="shared" si="20"/>
        <v>7.5726739037726504E-2</v>
      </c>
      <c r="I44" s="54" t="str">
        <f t="shared" si="21"/>
        <v>6.76532769556026-0.156502230288505i</v>
      </c>
      <c r="J44" s="78" t="str">
        <f t="shared" si="22"/>
        <v>0.0608135788261378-0.238988048773354i</v>
      </c>
      <c r="K44" s="78" t="str">
        <f t="shared" si="23"/>
        <v>0.374021626453279-1.62634992599239i</v>
      </c>
      <c r="L44" s="78" t="str">
        <f t="shared" si="24"/>
        <v>-0.11817274580977-0.0447811982322021i</v>
      </c>
      <c r="M44" s="73">
        <f t="shared" si="25"/>
        <v>-17.966909077109626</v>
      </c>
      <c r="N44" s="73">
        <f t="shared" si="26"/>
        <v>20.754048928530608</v>
      </c>
      <c r="O44" s="73">
        <f t="shared" si="12"/>
        <v>20.754048928530608</v>
      </c>
    </row>
    <row r="45" spans="1:18" ht="15" x14ac:dyDescent="0.2">
      <c r="A45" s="74">
        <f t="shared" si="13"/>
        <v>44</v>
      </c>
      <c r="B45" s="73">
        <f t="shared" si="27"/>
        <v>22000</v>
      </c>
      <c r="C45" s="73">
        <f t="shared" si="15"/>
        <v>299.66310559006206</v>
      </c>
      <c r="D45" s="54" t="str">
        <f t="shared" si="16"/>
        <v>0.000224248902064566-0.0000348798867079319i</v>
      </c>
      <c r="E45" s="54" t="str">
        <f t="shared" si="17"/>
        <v>0.27335668044953-1.0662849237393i</v>
      </c>
      <c r="F45" s="73" t="str">
        <f t="shared" si="18"/>
        <v>0.0000241080381244189-0.000248647873481473i</v>
      </c>
      <c r="G45" s="73" t="str">
        <f t="shared" si="19"/>
        <v>0.00722428957404698-0.074510593965823i</v>
      </c>
      <c r="H45" s="76">
        <f t="shared" si="20"/>
        <v>7.4859995812111987E-2</v>
      </c>
      <c r="I45" s="54" t="str">
        <f t="shared" si="21"/>
        <v>6.76532769556025-0.152945361418312i</v>
      </c>
      <c r="J45" s="78" t="str">
        <f t="shared" si="22"/>
        <v>0.0582398976313024-0.234196524216731i</v>
      </c>
      <c r="K45" s="78" t="str">
        <f t="shared" si="23"/>
        <v>0.358192720392404-1.59332375367958i</v>
      </c>
      <c r="L45" s="78" t="str">
        <f t="shared" si="24"/>
        <v>-0.11613181133109-0.0381997845324608i</v>
      </c>
      <c r="M45" s="73">
        <f t="shared" si="25"/>
        <v>-18.254802193087031</v>
      </c>
      <c r="N45" s="73">
        <f t="shared" si="26"/>
        <v>18.207830389143055</v>
      </c>
      <c r="O45" s="73">
        <f t="shared" si="12"/>
        <v>18.207830389143055</v>
      </c>
      <c r="P45" s="73">
        <v>-13.846</v>
      </c>
      <c r="Q45" s="73">
        <v>23.129000000000001</v>
      </c>
      <c r="R45" s="73">
        <f>B45</f>
        <v>22000</v>
      </c>
    </row>
    <row r="46" spans="1:18" ht="15" x14ac:dyDescent="0.2">
      <c r="A46" s="74">
        <f t="shared" si="13"/>
        <v>45</v>
      </c>
      <c r="B46" s="73">
        <f t="shared" si="27"/>
        <v>22500</v>
      </c>
      <c r="C46" s="73">
        <f t="shared" si="15"/>
        <v>299.66310559006206</v>
      </c>
      <c r="D46" s="54" t="str">
        <f t="shared" si="16"/>
        <v>0.000224248848581966-0.0000341047781162467i</v>
      </c>
      <c r="E46" s="54" t="str">
        <f t="shared" si="17"/>
        <v>0.224559744711027-1.06370405389434i</v>
      </c>
      <c r="F46" s="73" t="str">
        <f t="shared" si="18"/>
        <v>0.0000140798734498894-0.000246192969584986i</v>
      </c>
      <c r="G46" s="73" t="str">
        <f t="shared" si="19"/>
        <v>0.00421921860430892-0.0737749498402766i</v>
      </c>
      <c r="H46" s="76">
        <f t="shared" si="20"/>
        <v>7.389550073966801E-2</v>
      </c>
      <c r="I46" s="54" t="str">
        <f t="shared" si="21"/>
        <v>6.76532769556025-0.149546575609016i</v>
      </c>
      <c r="J46" s="78" t="str">
        <f t="shared" si="22"/>
        <v>0.055823107440885-0.229579807728224i</v>
      </c>
      <c r="K46" s="78" t="str">
        <f t="shared" si="23"/>
        <v>0.343328740747323-1.56153078612279i</v>
      </c>
      <c r="L46" s="78" t="str">
        <f t="shared" si="24"/>
        <v>-0.113753276409901-0.0319175003713695i</v>
      </c>
      <c r="M46" s="73">
        <f t="shared" si="25"/>
        <v>-18.551601687261151</v>
      </c>
      <c r="N46" s="73">
        <f t="shared" si="26"/>
        <v>15.67334041501627</v>
      </c>
      <c r="O46" s="73">
        <f t="shared" si="12"/>
        <v>15.67334041501627</v>
      </c>
    </row>
    <row r="47" spans="1:18" ht="15" x14ac:dyDescent="0.2">
      <c r="A47" s="74">
        <f t="shared" si="13"/>
        <v>46</v>
      </c>
      <c r="B47" s="73">
        <f t="shared" si="27"/>
        <v>23000</v>
      </c>
      <c r="C47" s="73">
        <f t="shared" si="15"/>
        <v>299.66310559006206</v>
      </c>
      <c r="D47" s="54" t="str">
        <f t="shared" si="16"/>
        <v>0.000224248798549306-0.0000333633698979979i</v>
      </c>
      <c r="E47" s="54" t="str">
        <f t="shared" si="17"/>
        <v>0.176553152797926-1.05747982144591i</v>
      </c>
      <c r="F47" s="73" t="str">
        <f t="shared" si="18"/>
        <v>4.31074195245828E-06-0.000243028987592835i</v>
      </c>
      <c r="G47" s="73" t="str">
        <f t="shared" si="19"/>
        <v>0.00129177032087102-0.0728268211704776i</v>
      </c>
      <c r="H47" s="76">
        <f t="shared" si="20"/>
        <v>7.2838276698166102E-2</v>
      </c>
      <c r="I47" s="54" t="str">
        <f t="shared" si="21"/>
        <v>6.76532769556026-0.146295563095777i</v>
      </c>
      <c r="J47" s="78" t="str">
        <f t="shared" si="22"/>
        <v>0.0535509575736711-0.225129412819858i</v>
      </c>
      <c r="K47" s="78" t="str">
        <f t="shared" si="23"/>
        <v>0.329354342179027-1.53090851912796i</v>
      </c>
      <c r="L47" s="78" t="str">
        <f t="shared" si="24"/>
        <v>-0.111065750786616-0.0259634119685704i</v>
      </c>
      <c r="M47" s="73">
        <f t="shared" si="25"/>
        <v>-18.857327260811292</v>
      </c>
      <c r="N47" s="73">
        <f t="shared" si="26"/>
        <v>13.157537705154397</v>
      </c>
      <c r="O47" s="73">
        <f t="shared" si="12"/>
        <v>13.157537705154397</v>
      </c>
    </row>
    <row r="48" spans="1:18" ht="15" x14ac:dyDescent="0.2">
      <c r="A48" s="74">
        <f t="shared" si="13"/>
        <v>47</v>
      </c>
      <c r="B48" s="73">
        <f t="shared" si="27"/>
        <v>23500</v>
      </c>
      <c r="C48" s="73">
        <f t="shared" si="15"/>
        <v>299.66310559006206</v>
      </c>
      <c r="D48" s="54" t="str">
        <f t="shared" si="16"/>
        <v>0.000224248751676123-0.000032653510965529i</v>
      </c>
      <c r="E48" s="54" t="str">
        <f t="shared" si="17"/>
        <v>0.129744340337863-1.04776357317518i</v>
      </c>
      <c r="F48" s="73" t="str">
        <f t="shared" si="18"/>
        <v>-5.11815296814976E-06-0.000239196281576186i</v>
      </c>
      <c r="G48" s="73" t="str">
        <f t="shared" si="19"/>
        <v>-0.00153372161332075-0.0716783005827148i</v>
      </c>
      <c r="H48" s="76">
        <f t="shared" si="20"/>
        <v>7.1694707450502784E-2</v>
      </c>
      <c r="I48" s="54" t="str">
        <f t="shared" si="21"/>
        <v>6.76532769556025-0.143182891540547i</v>
      </c>
      <c r="J48" s="78" t="str">
        <f t="shared" si="22"/>
        <v>0.0514123458572214-0.22083730787772i</v>
      </c>
      <c r="K48" s="78" t="str">
        <f t="shared" si="23"/>
        <v>0.31620124301962-1.50139812353882i</v>
      </c>
      <c r="L48" s="78" t="str">
        <f t="shared" si="24"/>
        <v>-0.108102630673918-0.0203620409895177i</v>
      </c>
      <c r="M48" s="73">
        <f t="shared" si="25"/>
        <v>-19.171862230200137</v>
      </c>
      <c r="N48" s="73">
        <f t="shared" si="26"/>
        <v>10.667161469316795</v>
      </c>
      <c r="O48" s="73">
        <f t="shared" si="12"/>
        <v>10.667161469316795</v>
      </c>
    </row>
    <row r="49" spans="1:15" ht="15" x14ac:dyDescent="0.2">
      <c r="A49" s="74">
        <f t="shared" si="13"/>
        <v>48</v>
      </c>
      <c r="B49" s="73">
        <f t="shared" si="27"/>
        <v>24000</v>
      </c>
      <c r="C49" s="73">
        <f t="shared" si="15"/>
        <v>299.66310559006206</v>
      </c>
      <c r="D49" s="54" t="str">
        <f t="shared" si="16"/>
        <v>0.000224248707701887-0.0000319732294884868i</v>
      </c>
      <c r="E49" s="54" t="str">
        <f t="shared" si="17"/>
        <v>0.0845058374562984-1.03476535660774i</v>
      </c>
      <c r="F49" s="73" t="str">
        <f t="shared" si="18"/>
        <v>-0.0000141344653707145-0.000234746718528075i</v>
      </c>
      <c r="G49" s="73" t="str">
        <f t="shared" si="19"/>
        <v>-0.00423557778884349-0.0703449307011991i</v>
      </c>
      <c r="H49" s="76">
        <f t="shared" si="20"/>
        <v>7.0472330701927599E-2</v>
      </c>
      <c r="I49" s="54" t="str">
        <f t="shared" si="21"/>
        <v>6.76532769556025-0.140199914633452i</v>
      </c>
      <c r="J49" s="78" t="str">
        <f t="shared" si="22"/>
        <v>0.0493971946336005-0.216695897044523i</v>
      </c>
      <c r="K49" s="78" t="str">
        <f t="shared" si="23"/>
        <v>0.303807462670616-1.47294423626035i</v>
      </c>
      <c r="L49" s="78" t="str">
        <f t="shared" si="24"/>
        <v>-0.104900960367438-0.0151325450167622i</v>
      </c>
      <c r="M49" s="73">
        <f t="shared" si="25"/>
        <v>-19.494962997549713</v>
      </c>
      <c r="N49" s="73">
        <f t="shared" si="26"/>
        <v>8.208606922930187</v>
      </c>
      <c r="O49" s="73">
        <f t="shared" si="12"/>
        <v>8.208606922930187</v>
      </c>
    </row>
    <row r="50" spans="1:15" ht="15" x14ac:dyDescent="0.2">
      <c r="A50" s="74">
        <f t="shared" si="13"/>
        <v>49</v>
      </c>
      <c r="B50" s="73">
        <f t="shared" si="27"/>
        <v>24500</v>
      </c>
      <c r="C50" s="73">
        <f t="shared" si="15"/>
        <v>299.66310559006206</v>
      </c>
      <c r="D50" s="54" t="str">
        <f t="shared" si="16"/>
        <v>0.000224248666392383-0.0000313207146022607i</v>
      </c>
      <c r="E50" s="54" t="str">
        <f t="shared" si="17"/>
        <v>0.0411656036515804-1.01874473683204i</v>
      </c>
      <c r="F50" s="73" t="str">
        <f t="shared" si="18"/>
        <v>-0.0000226764814347672-0.000229741484752245i</v>
      </c>
      <c r="G50" s="73" t="str">
        <f t="shared" si="19"/>
        <v>-0.00679530485059773-0.0688450468037296i</v>
      </c>
      <c r="H50" s="76">
        <f t="shared" si="20"/>
        <v>6.917959697353171E-2</v>
      </c>
      <c r="I50" s="54" t="str">
        <f t="shared" si="21"/>
        <v>6.76532769556026-0.137338691885831i</v>
      </c>
      <c r="J50" s="78" t="str">
        <f t="shared" si="22"/>
        <v>0.0474963417248489-0.212698000102505i</v>
      </c>
      <c r="K50" s="78" t="str">
        <f t="shared" si="23"/>
        <v>0.292116651008104-1.44549475632561i</v>
      </c>
      <c r="L50" s="78" t="str">
        <f t="shared" si="24"/>
        <v>-0.101500175849318-0.0102882069816287i</v>
      </c>
      <c r="M50" s="73">
        <f t="shared" si="25"/>
        <v>-19.826271709511293</v>
      </c>
      <c r="N50" s="73">
        <f t="shared" si="26"/>
        <v>5.787816797892674</v>
      </c>
      <c r="O50" s="73">
        <f t="shared" si="12"/>
        <v>5.787816797892674</v>
      </c>
    </row>
    <row r="51" spans="1:15" ht="15" x14ac:dyDescent="0.2">
      <c r="A51" s="74">
        <f t="shared" si="13"/>
        <v>50</v>
      </c>
      <c r="B51" s="73">
        <f t="shared" si="27"/>
        <v>25000</v>
      </c>
      <c r="C51" s="73">
        <f t="shared" si="15"/>
        <v>299.66310559006206</v>
      </c>
      <c r="D51" s="54" t="str">
        <f t="shared" si="16"/>
        <v>0.000224248627536578-0.0000306943003114084i</v>
      </c>
      <c r="E51" s="54" t="str">
        <f t="shared" si="17"/>
        <v>-i</v>
      </c>
      <c r="F51" s="73" t="str">
        <f t="shared" si="18"/>
        <v>-0.0000306943003114084-0.000224248627536578i</v>
      </c>
      <c r="G51" s="73" t="str">
        <f t="shared" si="19"/>
        <v>-0.00919794935523065-0.0671990401519201i</v>
      </c>
      <c r="H51" s="76">
        <f t="shared" si="20"/>
        <v>6.7825609246661089E-2</v>
      </c>
      <c r="I51" s="54" t="str">
        <f t="shared" si="21"/>
        <v>6.76532769556026-0.134591918048114i</v>
      </c>
      <c r="J51" s="78" t="str">
        <f t="shared" si="22"/>
        <v>0.0457014443887772-0.2088368319276i</v>
      </c>
      <c r="K51" s="78" t="str">
        <f t="shared" si="23"/>
        <v>0.281077497682274-1.41900064795071i</v>
      </c>
      <c r="L51" s="78" t="str">
        <f t="shared" si="24"/>
        <v>-0.0979408181058169-0.00583624195766225i</v>
      </c>
      <c r="M51" s="73">
        <f t="shared" si="25"/>
        <v>-20.165331380657538</v>
      </c>
      <c r="N51" s="73">
        <f t="shared" si="26"/>
        <v>3.4101928267199924</v>
      </c>
      <c r="O51" s="73">
        <f t="shared" si="12"/>
        <v>3.4101928267199924</v>
      </c>
    </row>
    <row r="52" spans="1:15" ht="15" x14ac:dyDescent="0.2">
      <c r="A52" s="74">
        <f t="shared" si="13"/>
        <v>51</v>
      </c>
      <c r="B52" s="73">
        <f t="shared" si="27"/>
        <v>25500</v>
      </c>
      <c r="C52" s="73">
        <f t="shared" si="15"/>
        <v>299.66310559006206</v>
      </c>
      <c r="D52" s="54" t="str">
        <f t="shared" si="16"/>
        <v>0.000224248590943925-0.0000300924512867959i</v>
      </c>
      <c r="E52" s="54" t="str">
        <f t="shared" si="17"/>
        <v>-0.0387703964914096-0.978856545080144i</v>
      </c>
      <c r="F52" s="73" t="str">
        <f t="shared" si="18"/>
        <v>-0.0000381503996831215-0.000218340504702673i</v>
      </c>
      <c r="G52" s="73" t="str">
        <f t="shared" si="19"/>
        <v>-0.0114322672485463-0.0654285937153045i</v>
      </c>
      <c r="H52" s="76">
        <f t="shared" si="20"/>
        <v>6.6419858551524852E-2</v>
      </c>
      <c r="I52" s="54" t="str">
        <f t="shared" si="21"/>
        <v>6.76532769556025-0.131952860831485i</v>
      </c>
      <c r="J52" s="78" t="str">
        <f t="shared" si="22"/>
        <v>0.0440048945726258-0.205105981936846i</v>
      </c>
      <c r="K52" s="78" t="str">
        <f t="shared" si="23"/>
        <v>0.270643210902177-1.39341575185187i</v>
      </c>
      <c r="L52" s="78" t="str">
        <f t="shared" si="24"/>
        <v>-0.0942632986204599-0.00177790342441936i</v>
      </c>
      <c r="M52" s="73">
        <f t="shared" si="25"/>
        <v>-20.511602656256393</v>
      </c>
      <c r="N52" s="73">
        <f t="shared" si="26"/>
        <v>1.0805296165260927</v>
      </c>
      <c r="O52" s="73">
        <f t="shared" si="12"/>
        <v>1.0805296165260927</v>
      </c>
    </row>
    <row r="53" spans="1:15" ht="15" x14ac:dyDescent="0.2">
      <c r="A53" s="74">
        <f t="shared" si="13"/>
        <v>52</v>
      </c>
      <c r="B53" s="73">
        <f t="shared" si="27"/>
        <v>26000</v>
      </c>
      <c r="C53" s="73">
        <f t="shared" si="15"/>
        <v>299.66310559006206</v>
      </c>
      <c r="D53" s="54" t="str">
        <f t="shared" si="16"/>
        <v>0.00022424855644202-0.00002951375030153i</v>
      </c>
      <c r="E53" s="54" t="str">
        <f t="shared" si="17"/>
        <v>-0.0749821807052913-0.955655244283123i</v>
      </c>
      <c r="F53" s="73" t="str">
        <f t="shared" si="18"/>
        <v>-0.000045019616036156-0.000212091303628336i</v>
      </c>
      <c r="G53" s="73" t="str">
        <f t="shared" si="19"/>
        <v>-0.0134907179538667-0.063555938713912i</v>
      </c>
      <c r="H53" s="76">
        <f t="shared" si="20"/>
        <v>6.4971969469282062E-2</v>
      </c>
      <c r="I53" s="54" t="str">
        <f t="shared" si="21"/>
        <v>6.76532769556026-0.129415305815495i</v>
      </c>
      <c r="J53" s="78" t="str">
        <f t="shared" si="22"/>
        <v>0.042399744008393-0.201499393836348i</v>
      </c>
      <c r="K53" s="78" t="str">
        <f t="shared" si="23"/>
        <v>0.260771056749678-1.36869660559699i</v>
      </c>
      <c r="L53" s="78" t="str">
        <f t="shared" si="24"/>
        <v>-0.0905067863604034+0.00189115056937912i</v>
      </c>
      <c r="M53" s="73">
        <f t="shared" si="25"/>
        <v>-20.864481365028045</v>
      </c>
      <c r="N53" s="73">
        <f t="shared" si="26"/>
        <v>358.80297174328905</v>
      </c>
      <c r="O53" s="73">
        <f t="shared" si="12"/>
        <v>-1.1970282567109507</v>
      </c>
    </row>
    <row r="54" spans="1:15" ht="15" x14ac:dyDescent="0.2">
      <c r="A54" s="74">
        <f t="shared" si="13"/>
        <v>53</v>
      </c>
      <c r="B54" s="73">
        <f t="shared" si="27"/>
        <v>26500</v>
      </c>
      <c r="C54" s="73">
        <f t="shared" si="15"/>
        <v>299.66310559006206</v>
      </c>
      <c r="D54" s="54" t="str">
        <f t="shared" si="16"/>
        <v>0.00022424852387457-0.0000289568870892368i</v>
      </c>
      <c r="E54" s="54" t="str">
        <f t="shared" si="17"/>
        <v>-0.108527966006091-0.93074145603929i</v>
      </c>
      <c r="F54" s="73" t="str">
        <f t="shared" si="18"/>
        <v>-0.000051288611427777-0.000205574765568016i</v>
      </c>
      <c r="G54" s="73" t="str">
        <f t="shared" si="19"/>
        <v>-0.0153693045818496-0.0616031726810606i</v>
      </c>
      <c r="H54" s="76">
        <f t="shared" si="20"/>
        <v>6.3491467203886806E-2</v>
      </c>
      <c r="I54" s="54" t="str">
        <f t="shared" si="21"/>
        <v>6.76532769556026-0.126973507592561i</v>
      </c>
      <c r="J54" s="78" t="str">
        <f t="shared" si="22"/>
        <v>0.0408796378952637-0.198011345889108i</v>
      </c>
      <c r="K54" s="78" t="str">
        <f t="shared" si="23"/>
        <v>0.251421951306638-1.34480227339142i</v>
      </c>
      <c r="L54" s="78" t="str">
        <f t="shared" si="24"/>
        <v>-0.0867082672178092+0.00518028585996448i</v>
      </c>
      <c r="M54" s="73">
        <f t="shared" si="25"/>
        <v>-21.223316058400442</v>
      </c>
      <c r="N54" s="73">
        <f t="shared" si="26"/>
        <v>356.58099343142993</v>
      </c>
      <c r="O54" s="73">
        <f t="shared" si="12"/>
        <v>-3.4190065685700688</v>
      </c>
    </row>
    <row r="55" spans="1:15" ht="15" x14ac:dyDescent="0.2">
      <c r="A55" s="74">
        <f t="shared" si="13"/>
        <v>54</v>
      </c>
      <c r="B55" s="73">
        <f t="shared" si="27"/>
        <v>27000</v>
      </c>
      <c r="C55" s="73">
        <f t="shared" si="15"/>
        <v>299.66310559006206</v>
      </c>
      <c r="D55" s="54" t="str">
        <f t="shared" si="16"/>
        <v>0.000224248493099617-0.0000284206484403109i</v>
      </c>
      <c r="E55" s="54" t="str">
        <f t="shared" si="17"/>
        <v>-0.139353101464065-0.9044552258485i</v>
      </c>
      <c r="F55" s="73" t="str">
        <f t="shared" si="18"/>
        <v>-0.0000569549270159168-0.000198862215966823i</v>
      </c>
      <c r="G55" s="73" t="str">
        <f t="shared" si="19"/>
        <v>-0.017067290308245-0.0595916692211398i</v>
      </c>
      <c r="H55" s="76">
        <f t="shared" si="20"/>
        <v>6.1987574876160897E-2</v>
      </c>
      <c r="I55" s="54" t="str">
        <f t="shared" si="21"/>
        <v>6.76532769556025-0.124622146340847i</v>
      </c>
      <c r="J55" s="78" t="str">
        <f t="shared" si="22"/>
        <v>0.0394387560867824-0.19463643185465i</v>
      </c>
      <c r="K55" s="78" t="str">
        <f t="shared" si="23"/>
        <v>0.242560098938504-1.32169418542384i</v>
      </c>
      <c r="L55" s="78" t="str">
        <f t="shared" si="24"/>
        <v>-0.0829018063350614+0.0081031771791578i</v>
      </c>
      <c r="M55" s="73">
        <f t="shared" si="25"/>
        <v>-21.587424834418481</v>
      </c>
      <c r="N55" s="73">
        <f t="shared" si="26"/>
        <v>354.4173989662379</v>
      </c>
      <c r="O55" s="73">
        <f t="shared" si="12"/>
        <v>-5.5826010337621028</v>
      </c>
    </row>
    <row r="56" spans="1:15" ht="15" x14ac:dyDescent="0.2">
      <c r="A56" s="74">
        <f t="shared" si="13"/>
        <v>55</v>
      </c>
      <c r="B56" s="73">
        <f t="shared" si="27"/>
        <v>27500.000000000004</v>
      </c>
      <c r="C56" s="73">
        <f t="shared" si="15"/>
        <v>299.66310559006206</v>
      </c>
      <c r="D56" s="54" t="str">
        <f t="shared" si="16"/>
        <v>0.000224248463987989-0.0000279039093785723i</v>
      </c>
      <c r="E56" s="54" t="str">
        <f t="shared" si="17"/>
        <v>-0.167450761502273-0.877123036440475i</v>
      </c>
      <c r="F56" s="73" t="str">
        <f t="shared" si="18"/>
        <v>-0.000062025737783197-0.000192020962775925i</v>
      </c>
      <c r="G56" s="73" t="str">
        <f t="shared" si="19"/>
        <v>-0.0185868252106277-0.0575415980438274i</v>
      </c>
      <c r="H56" s="76">
        <f t="shared" si="20"/>
        <v>6.0469046435741212E-2</v>
      </c>
      <c r="I56" s="54" t="str">
        <f t="shared" si="21"/>
        <v>6.76532769556026-0.122356289134649i</v>
      </c>
      <c r="J56" s="78" t="str">
        <f t="shared" si="22"/>
        <v>0.0380717608476206-0.19136954270098i</v>
      </c>
      <c r="K56" s="78" t="str">
        <f t="shared" si="23"/>
        <v>0.234152670982868-1.29933598669978i</v>
      </c>
      <c r="L56" s="78" t="str">
        <f t="shared" si="24"/>
        <v>-0.0791180238387188+0.0106770120000825i</v>
      </c>
      <c r="M56" s="73">
        <f t="shared" si="25"/>
        <v>-21.956110883125277</v>
      </c>
      <c r="N56" s="73">
        <f t="shared" si="26"/>
        <v>352.31434109387959</v>
      </c>
      <c r="O56" s="73">
        <f>IF(N56&gt;180,-(360-N56),N56)</f>
        <v>-7.685658906120409</v>
      </c>
    </row>
    <row r="57" spans="1:15" ht="15" x14ac:dyDescent="0.2">
      <c r="A57" s="74">
        <f t="shared" si="13"/>
        <v>56</v>
      </c>
      <c r="B57" s="73">
        <f t="shared" si="27"/>
        <v>28000.000000000004</v>
      </c>
      <c r="C57" s="73">
        <f t="shared" si="15"/>
        <v>299.66310559006206</v>
      </c>
      <c r="D57" s="54" t="str">
        <f t="shared" si="16"/>
        <v>0.000224248436421946-0.000027405625283282i</v>
      </c>
      <c r="E57" s="54" t="str">
        <f t="shared" si="17"/>
        <v>-0.192855936857753-0.84905129434231i</v>
      </c>
      <c r="F57" s="73" t="str">
        <f t="shared" si="18"/>
        <v>-0.0000665164239140716-0.000185113087659113i</v>
      </c>
      <c r="G57" s="73" t="str">
        <f t="shared" si="19"/>
        <v>-0.0199325181628358-0.0554715627332952i</v>
      </c>
      <c r="H57" s="76">
        <f t="shared" si="20"/>
        <v>5.8944037462543092E-2</v>
      </c>
      <c r="I57" s="54" t="str">
        <f t="shared" si="21"/>
        <v>6.76532769556025-0.120171355400102i</v>
      </c>
      <c r="J57" s="78" t="str">
        <f t="shared" si="22"/>
        <v>0.0367737503707705-0.188205849150442i</v>
      </c>
      <c r="K57" s="78" t="str">
        <f t="shared" si="23"/>
        <v>0.226169519866357-1.27769339514912i</v>
      </c>
      <c r="L57" s="78" t="str">
        <f t="shared" si="24"/>
        <v>-0.0753837773855474+0.0129216700957193i</v>
      </c>
      <c r="M57" s="73">
        <f t="shared" si="25"/>
        <v>-22.328676346381293</v>
      </c>
      <c r="N57" s="73">
        <f t="shared" si="26"/>
        <v>350.27335412047688</v>
      </c>
      <c r="O57" s="73">
        <f t="shared" ref="O57:O101" si="28">IF(N57&gt;180,-(360-N57),N57)</f>
        <v>-9.7266458795231188</v>
      </c>
    </row>
    <row r="58" spans="1:15" ht="15" x14ac:dyDescent="0.2">
      <c r="A58" s="74">
        <f t="shared" si="13"/>
        <v>57</v>
      </c>
      <c r="B58" s="73">
        <f t="shared" si="27"/>
        <v>28499.999999999996</v>
      </c>
      <c r="C58" s="73">
        <f t="shared" si="15"/>
        <v>299.66310559006206</v>
      </c>
      <c r="D58" s="54" t="str">
        <f t="shared" si="16"/>
        <v>0.000224248410293983-0.0000269248248404194i</v>
      </c>
      <c r="E58" s="54" t="str">
        <f t="shared" si="17"/>
        <v>-0.215638830467112-0.820521584554433i</v>
      </c>
      <c r="F58" s="73" t="str">
        <f t="shared" si="18"/>
        <v>-0.0000704490648718151-0.000178194623209112i</v>
      </c>
      <c r="G58" s="73" t="str">
        <f t="shared" si="19"/>
        <v>-0.0211109855654039-0.0533983541902935i</v>
      </c>
      <c r="H58" s="76">
        <f t="shared" si="20"/>
        <v>5.7420013425414022E-2</v>
      </c>
      <c r="I58" s="54" t="str">
        <f t="shared" si="21"/>
        <v>6.76532769556025-0.118063086007118i</v>
      </c>
      <c r="J58" s="78" t="str">
        <f t="shared" si="22"/>
        <v>0.0355402173539243-0.185140785091671i</v>
      </c>
      <c r="K58" s="78" t="str">
        <f t="shared" si="23"/>
        <v>0.218582924337032-1.25673406869662i</v>
      </c>
      <c r="L58" s="78" t="str">
        <f t="shared" si="24"/>
        <v>-0.0717220318837936+0.0148589263701067i</v>
      </c>
      <c r="M58" s="73">
        <f t="shared" si="25"/>
        <v>-22.704434241225844</v>
      </c>
      <c r="N58" s="73">
        <f t="shared" si="26"/>
        <v>348.29539820852523</v>
      </c>
      <c r="O58" s="73">
        <f t="shared" si="28"/>
        <v>-11.704601791474772</v>
      </c>
    </row>
    <row r="59" spans="1:15" ht="15" x14ac:dyDescent="0.2">
      <c r="A59" s="74">
        <f t="shared" si="13"/>
        <v>58</v>
      </c>
      <c r="B59" s="73">
        <f t="shared" si="27"/>
        <v>28999.999999999996</v>
      </c>
      <c r="C59" s="73">
        <f t="shared" si="15"/>
        <v>299.66310559006206</v>
      </c>
      <c r="D59" s="54" t="str">
        <f t="shared" si="16"/>
        <v>0.00022424838550578-0.0000264606037231371i</v>
      </c>
      <c r="E59" s="54" t="str">
        <f t="shared" si="17"/>
        <v>-0.235898099010801-0.791787600846437i</v>
      </c>
      <c r="F59" s="73" t="str">
        <f t="shared" si="18"/>
        <v>-0.0000738509457859458-0.000171315085036342i</v>
      </c>
      <c r="G59" s="73" t="str">
        <f t="shared" si="19"/>
        <v>-0.0221304037649798-0.0513368104164158i</v>
      </c>
      <c r="H59" s="76">
        <f t="shared" si="20"/>
        <v>5.5903692852369333E-2</v>
      </c>
      <c r="I59" s="54" t="str">
        <f t="shared" si="21"/>
        <v>6.76532769556026-0.116027515558719i</v>
      </c>
      <c r="J59" s="78" t="str">
        <f t="shared" si="22"/>
        <v>0.0343670120263916-0.182170031867949i</v>
      </c>
      <c r="K59" s="78" t="str">
        <f t="shared" si="23"/>
        <v>0.211367362068909-1.23642748091993i</v>
      </c>
      <c r="L59" s="78" t="str">
        <f t="shared" si="24"/>
        <v>-0.0681518882469566+0.0165117131841254i</v>
      </c>
      <c r="M59" s="73">
        <f t="shared" si="25"/>
        <v>-23.082718338403328</v>
      </c>
      <c r="N59" s="73">
        <f t="shared" si="26"/>
        <v>346.38091143472707</v>
      </c>
      <c r="O59" s="73">
        <f t="shared" si="28"/>
        <v>-13.619088565272932</v>
      </c>
    </row>
    <row r="60" spans="1:15" ht="15" x14ac:dyDescent="0.2">
      <c r="A60" s="74">
        <f t="shared" si="13"/>
        <v>59</v>
      </c>
      <c r="B60" s="73">
        <f t="shared" si="27"/>
        <v>29500</v>
      </c>
      <c r="C60" s="73">
        <f t="shared" si="15"/>
        <v>299.66310559006206</v>
      </c>
      <c r="D60" s="54" t="str">
        <f t="shared" si="16"/>
        <v>0.000224248361967283-0.0000260121189148828i</v>
      </c>
      <c r="E60" s="54" t="str">
        <f t="shared" si="17"/>
        <v>-0.253754296104207-0.763073571363313i</v>
      </c>
      <c r="F60" s="73" t="str">
        <f t="shared" si="18"/>
        <v>-0.0000767531457226361-0.000164517311513323i</v>
      </c>
      <c r="G60" s="73" t="str">
        <f t="shared" si="19"/>
        <v>-0.0230000860110517-0.04929976849141i</v>
      </c>
      <c r="H60" s="76">
        <f t="shared" si="20"/>
        <v>5.4401021404219957E-2</v>
      </c>
      <c r="I60" s="54" t="str">
        <f t="shared" si="21"/>
        <v>6.76532769556025-0.114060947498402i</v>
      </c>
      <c r="J60" s="78" t="str">
        <f t="shared" si="22"/>
        <v>0.0332503090974373-0.179289503436097i</v>
      </c>
      <c r="K60" s="78" t="str">
        <f t="shared" si="23"/>
        <v>0.204499306384392-1.21674480487974i</v>
      </c>
      <c r="L60" s="78" t="str">
        <f t="shared" si="24"/>
        <v>-0.0646887388297384+0.0179034667043299i</v>
      </c>
      <c r="M60" s="73">
        <f t="shared" si="25"/>
        <v>-23.462891007642273</v>
      </c>
      <c r="N60" s="73">
        <f t="shared" si="26"/>
        <v>344.52986644992768</v>
      </c>
      <c r="O60" s="73">
        <f t="shared" si="28"/>
        <v>-15.470133550072319</v>
      </c>
    </row>
    <row r="61" spans="1:15" ht="15" x14ac:dyDescent="0.2">
      <c r="A61" s="74">
        <f t="shared" si="13"/>
        <v>60</v>
      </c>
      <c r="B61" s="73">
        <f t="shared" si="27"/>
        <v>30000</v>
      </c>
      <c r="C61" s="73">
        <f t="shared" si="15"/>
        <v>299.66310559006206</v>
      </c>
      <c r="D61" s="54" t="str">
        <f t="shared" si="16"/>
        <v>0.000224248339595874-0.0000255785836002071i</v>
      </c>
      <c r="E61" s="54" t="str">
        <f t="shared" si="17"/>
        <v>-0.269343780607248-0.734573947110676i</v>
      </c>
      <c r="F61" s="73" t="str">
        <f t="shared" si="18"/>
        <v>-0.0000791892566983553-0.000157837555540498i</v>
      </c>
      <c r="G61" s="73" t="str">
        <f t="shared" si="19"/>
        <v>-0.0237300985915978-0.0472980920720095i</v>
      </c>
      <c r="H61" s="76">
        <f t="shared" si="20"/>
        <v>5.2917172003228222E-2</v>
      </c>
      <c r="I61" s="54" t="str">
        <f t="shared" si="21"/>
        <v>6.76532769556025-0.112159931706762i</v>
      </c>
      <c r="J61" s="78" t="str">
        <f t="shared" si="22"/>
        <v>0.0321865781653446-0.176495332378369i</v>
      </c>
      <c r="K61" s="78" t="str">
        <f t="shared" si="23"/>
        <v>0.197957044261201-1.19765880468539i</v>
      </c>
      <c r="L61" s="78" t="str">
        <f t="shared" si="24"/>
        <v>-0.061344516592082+0.0190575710085103i</v>
      </c>
      <c r="M61" s="73">
        <f t="shared" si="25"/>
        <v>-23.844349134284371</v>
      </c>
      <c r="N61" s="73">
        <f t="shared" si="26"/>
        <v>342.74182899691255</v>
      </c>
      <c r="O61" s="73">
        <f t="shared" si="28"/>
        <v>-17.258171003087455</v>
      </c>
    </row>
    <row r="62" spans="1:15" ht="15" x14ac:dyDescent="0.2">
      <c r="A62" s="74">
        <f t="shared" si="13"/>
        <v>61</v>
      </c>
      <c r="B62" s="73">
        <f t="shared" si="27"/>
        <v>30500</v>
      </c>
      <c r="C62" s="73">
        <f t="shared" si="15"/>
        <v>299.66310559006206</v>
      </c>
      <c r="D62" s="54" t="str">
        <f t="shared" si="16"/>
        <v>0.000224248318315656-0.0000251592625581163i</v>
      </c>
      <c r="E62" s="54" t="str">
        <f t="shared" si="17"/>
        <v>-0.282813264215408-0.706454099800979i</v>
      </c>
      <c r="F62" s="73" t="str">
        <f t="shared" si="18"/>
        <v>-0.0000811942630798171-0.000151305770678257i</v>
      </c>
      <c r="G62" s="73" t="str">
        <f t="shared" si="19"/>
        <v>-0.0243309250305945-0.0453407571351442i</v>
      </c>
      <c r="H62" s="76">
        <f t="shared" si="20"/>
        <v>5.1456565863187365E-2</v>
      </c>
      <c r="I62" s="54" t="str">
        <f t="shared" si="21"/>
        <v>6.76532769556026-0.110321244301733i</v>
      </c>
      <c r="J62" s="78" t="str">
        <f t="shared" si="22"/>
        <v>0.0311725571854353-0.173783856741517i</v>
      </c>
      <c r="K62" s="78" t="str">
        <f t="shared" si="23"/>
        <v>0.191720513152783-1.17914373435143i</v>
      </c>
      <c r="L62" s="78" t="str">
        <f t="shared" si="24"/>
        <v>-0.0581280071190026+0.0199969045761143i</v>
      </c>
      <c r="M62" s="73">
        <f t="shared" si="25"/>
        <v>-24.226528277306912</v>
      </c>
      <c r="N62" s="73">
        <f t="shared" si="26"/>
        <v>341.01601602860808</v>
      </c>
      <c r="O62" s="73">
        <f t="shared" si="28"/>
        <v>-18.983983971391922</v>
      </c>
    </row>
    <row r="63" spans="1:15" ht="15" x14ac:dyDescent="0.2">
      <c r="A63" s="74">
        <f t="shared" si="13"/>
        <v>62</v>
      </c>
      <c r="B63" s="73">
        <f t="shared" si="27"/>
        <v>31000</v>
      </c>
      <c r="C63" s="73">
        <f t="shared" si="15"/>
        <v>299.66310559006206</v>
      </c>
      <c r="D63" s="54" t="str">
        <f t="shared" si="16"/>
        <v>0.000224248298056799-0.0000247534680012289i</v>
      </c>
      <c r="E63" s="54" t="str">
        <f t="shared" si="17"/>
        <v>-0.294315093739357-0.678851778714291i</v>
      </c>
      <c r="F63" s="73" t="str">
        <f t="shared" si="18"/>
        <v>-0.0000828035946454596-0.000144946036754355i</v>
      </c>
      <c r="G63" s="73" t="str">
        <f t="shared" si="19"/>
        <v>-0.0248131823254791-0.0434349795167813i</v>
      </c>
      <c r="H63" s="76">
        <f t="shared" si="20"/>
        <v>5.0022909379010327E-2</v>
      </c>
      <c r="I63" s="54" t="str">
        <f t="shared" si="21"/>
        <v>6.76532769556025-0.108541869393641i</v>
      </c>
      <c r="J63" s="78" t="str">
        <f t="shared" si="22"/>
        <v>0.0302052286461313-0.171151607671579i</v>
      </c>
      <c r="K63" s="78" t="str">
        <f t="shared" si="23"/>
        <v>0.185771154464002-1.16117524350291i</v>
      </c>
      <c r="L63" s="78" t="str">
        <f t="shared" si="24"/>
        <v>-0.0550451964434724+0.0207434867399176i</v>
      </c>
      <c r="M63" s="73">
        <f t="shared" si="25"/>
        <v>-24.608905278837291</v>
      </c>
      <c r="N63" s="73">
        <f t="shared" si="26"/>
        <v>339.35135167261268</v>
      </c>
      <c r="O63" s="73">
        <f t="shared" si="28"/>
        <v>-20.64864832738732</v>
      </c>
    </row>
    <row r="64" spans="1:15" ht="15" x14ac:dyDescent="0.2">
      <c r="A64" s="74">
        <f t="shared" si="13"/>
        <v>63</v>
      </c>
      <c r="B64" s="73">
        <f t="shared" si="27"/>
        <v>31500</v>
      </c>
      <c r="C64" s="73">
        <f t="shared" si="15"/>
        <v>299.66310559006206</v>
      </c>
      <c r="D64" s="54" t="str">
        <f t="shared" si="16"/>
        <v>0.000224248278754972-0.0000243605558112035i</v>
      </c>
      <c r="E64" s="54" t="str">
        <f t="shared" si="17"/>
        <v>-0.304003299211843-0.65187909633581i</v>
      </c>
      <c r="F64" s="73" t="str">
        <f t="shared" si="18"/>
        <v>-0.0000840523536925339-0.000138777075972412i</v>
      </c>
      <c r="G64" s="73" t="str">
        <f t="shared" si="19"/>
        <v>-0.025187389339659-0.041586369570601i</v>
      </c>
      <c r="H64" s="76">
        <f t="shared" si="20"/>
        <v>4.8619242238132188E-2</v>
      </c>
      <c r="I64" s="54" t="str">
        <f t="shared" si="21"/>
        <v>6.76532769556025-0.106818982577869i</v>
      </c>
      <c r="J64" s="78" t="str">
        <f t="shared" si="22"/>
        <v>0.0292817981460696-0.168595297809288i</v>
      </c>
      <c r="K64" s="78" t="str">
        <f t="shared" si="23"/>
        <v>0.180091781794008-1.14373028949642i</v>
      </c>
      <c r="L64" s="78" t="str">
        <f t="shared" si="24"/>
        <v>-0.0520996323330072+0.0213182167067936i</v>
      </c>
      <c r="M64" s="73">
        <f t="shared" si="25"/>
        <v>-24.990999553744938</v>
      </c>
      <c r="N64" s="73">
        <f t="shared" si="26"/>
        <v>337.74651976712653</v>
      </c>
      <c r="O64" s="73">
        <f t="shared" si="28"/>
        <v>-22.253480232873471</v>
      </c>
    </row>
    <row r="65" spans="1:15" ht="15" x14ac:dyDescent="0.2">
      <c r="A65" s="74">
        <f t="shared" si="13"/>
        <v>64</v>
      </c>
      <c r="B65" s="73">
        <f t="shared" si="27"/>
        <v>32000</v>
      </c>
      <c r="C65" s="73">
        <f t="shared" si="15"/>
        <v>299.66310559006206</v>
      </c>
      <c r="D65" s="54" t="str">
        <f t="shared" si="16"/>
        <v>0.00022424826035083-0.0000239799221270949i</v>
      </c>
      <c r="E65" s="54" t="str">
        <f t="shared" si="17"/>
        <v>-0.312030390352364-0.625624842811758i</v>
      </c>
      <c r="F65" s="73" t="str">
        <f t="shared" si="18"/>
        <v>-0.00008497470722451-0.000132812818170861i</v>
      </c>
      <c r="G65" s="73" t="str">
        <f t="shared" si="19"/>
        <v>-0.0254637846635029-0.0397991015552484i</v>
      </c>
      <c r="H65" s="76">
        <f t="shared" si="20"/>
        <v>4.7247992698041905E-2</v>
      </c>
      <c r="I65" s="54" t="str">
        <f t="shared" si="21"/>
        <v>6.76532769556026-0.105149935975089i</v>
      </c>
      <c r="J65" s="78" t="str">
        <f t="shared" si="22"/>
        <v>0.0283996751032914-0.16611181040889i</v>
      </c>
      <c r="K65" s="78" t="str">
        <f t="shared" si="23"/>
        <v>0.17466646229201-1.12678705553774i</v>
      </c>
      <c r="L65" s="78" t="str">
        <f t="shared" si="24"/>
        <v>-0.0492927816382254+0.0217406946727798i</v>
      </c>
      <c r="M65" s="73">
        <f t="shared" si="25"/>
        <v>-25.372373289429401</v>
      </c>
      <c r="N65" s="73">
        <f t="shared" si="26"/>
        <v>336.20001212145405</v>
      </c>
      <c r="O65" s="73">
        <f t="shared" si="28"/>
        <v>-23.799987878545949</v>
      </c>
    </row>
    <row r="66" spans="1:15" ht="15" x14ac:dyDescent="0.2">
      <c r="A66" s="74">
        <f t="shared" si="13"/>
        <v>65</v>
      </c>
      <c r="B66" s="73">
        <f t="shared" si="27"/>
        <v>32500</v>
      </c>
      <c r="C66" s="73">
        <f t="shared" ref="C66:C101" si="29">_ta1*_ta2*(rload/RS)</f>
        <v>299.66310559006206</v>
      </c>
      <c r="D66" s="54" t="str">
        <f t="shared" ref="D66:D101" si="30">IMDIV((COMPLEX(1,2*PI()*(B66)*(esrcout*0.001)*(cout*0.000001))),(COMPLEX(1,2*PI()*(B66)*rload*(cout*0.000001))))</f>
        <v>0.00022424824278956-0.0000236110002486312i</v>
      </c>
      <c r="E66" s="54" t="str">
        <f t="shared" ref="E66:E101" si="31">IMDIV(1,(COMPLEX((1-(B66/(fpp*1000))^2),(B66/(fpp*1000)))))</f>
        <v>-0.318544850191589-0.60015696412908i</v>
      </c>
      <c r="F66" s="73" t="str">
        <f t="shared" ref="F66:F97" si="32">IMPRODUCT(D66,E66)</f>
        <v>-0.0000856034291343969-0.000127062982066789i</v>
      </c>
      <c r="G66" s="73" t="str">
        <f t="shared" ref="G66:G97" si="33">IMPRODUCT(C66,F66)</f>
        <v>-0.0256521894235722-0.0380760878116684i</v>
      </c>
      <c r="H66" s="76">
        <f t="shared" ref="H66:H97" si="34">IMABS(G66)</f>
        <v>4.5911036638968547E-2</v>
      </c>
      <c r="I66" s="54" t="str">
        <f t="shared" ref="I66:I101" si="35">IMDIV((COMPLEX(1,(2*PI()*B66*(rf*1000)*(Cz*0.000000001)))),(COMPLEX(0,2*PI()*B66*((Cz*0.000000001)+(Cp*0.000000000001))*(RII*1000))))</f>
        <v>6.76532769556025-0.103532244652396i</v>
      </c>
      <c r="J66" s="78" t="str">
        <f t="shared" ref="J66:J101" si="36">IMDIV(1,(COMPLEX(1,2*PI()*B66*(((Cz*0.000000001)*(Cp*0.000000000001))/((Cz*0.000000001)+(Cp*0.000000000001)))*(rf*1000))))</f>
        <v>0.0275564553604741-0.163698189142215i</v>
      </c>
      <c r="K66" s="78" t="str">
        <f t="shared" ref="K66:K97" si="37">IMPRODUCT(I66,J66)</f>
        <v>0.169480409674259-1.11032487439502i</v>
      </c>
      <c r="L66" s="78" t="str">
        <f t="shared" ref="L66:L97" si="38">IMPRODUCT(G66,K66)</f>
        <v>-0.0466243709894932+0.0220291130385704i</v>
      </c>
      <c r="M66" s="73">
        <f t="shared" ref="M66:M97" si="39">20*LOG(IMABS(L66))</f>
        <v>-25.752630775110052</v>
      </c>
      <c r="N66" s="73">
        <f t="shared" ref="N66:N101" si="40">(180/PI())*IMARGUMENT(L66)+180</f>
        <v>334.71017201693462</v>
      </c>
      <c r="O66" s="73">
        <f t="shared" si="28"/>
        <v>-25.289827983065379</v>
      </c>
    </row>
    <row r="67" spans="1:15" ht="15" x14ac:dyDescent="0.2">
      <c r="A67" s="74">
        <f t="shared" si="13"/>
        <v>66</v>
      </c>
      <c r="B67" s="73">
        <f t="shared" si="27"/>
        <v>33000</v>
      </c>
      <c r="C67" s="73">
        <f t="shared" si="29"/>
        <v>299.66310559006206</v>
      </c>
      <c r="D67" s="54" t="str">
        <f t="shared" si="30"/>
        <v>0.000224248226020466-0.0000232532578210117i</v>
      </c>
      <c r="E67" s="54" t="str">
        <f t="shared" si="31"/>
        <v>-0.323689253851623-0.57552507419739i</v>
      </c>
      <c r="F67" s="73" t="str">
        <f t="shared" si="32"/>
        <v>-0.0000859695738908835-0.000121533647245359i</v>
      </c>
      <c r="G67" s="73" t="str">
        <f t="shared" si="33"/>
        <v>-0.0257619094983965-0.0364191501672314i</v>
      </c>
      <c r="H67" s="76">
        <f t="shared" si="34"/>
        <v>4.4609757675949352E-2</v>
      </c>
      <c r="I67" s="54" t="str">
        <f t="shared" si="35"/>
        <v>6.76532769556025-0.101963574278875i</v>
      </c>
      <c r="J67" s="78" t="str">
        <f t="shared" si="36"/>
        <v>0.0267499054787622-0.161351628549697i</v>
      </c>
      <c r="K67" s="78" t="str">
        <f t="shared" si="37"/>
        <v>0.164519887626444-1.09432415732525i</v>
      </c>
      <c r="L67" s="78" t="str">
        <f t="shared" si="38"/>
        <v>-0.0440927022729761+0.0222002054099586i</v>
      </c>
      <c r="M67" s="73">
        <f t="shared" si="39"/>
        <v>-26.131417060990479</v>
      </c>
      <c r="N67" s="73">
        <f t="shared" si="40"/>
        <v>333.27523275666249</v>
      </c>
      <c r="O67" s="73">
        <f t="shared" si="28"/>
        <v>-26.72476724333751</v>
      </c>
    </row>
    <row r="68" spans="1:15" ht="15" x14ac:dyDescent="0.2">
      <c r="A68" s="74">
        <f t="shared" ref="A68:A100" si="41">1+A67</f>
        <v>67</v>
      </c>
      <c r="B68" s="73">
        <f t="shared" ref="B68:B99" si="42">(fs*1000/2)*(A68/100)</f>
        <v>33500</v>
      </c>
      <c r="C68" s="73">
        <f t="shared" si="29"/>
        <v>299.66310559006206</v>
      </c>
      <c r="D68" s="54" t="str">
        <f t="shared" si="30"/>
        <v>0.000224248209996609-0.0000229061942718115i</v>
      </c>
      <c r="E68" s="54" t="str">
        <f t="shared" si="31"/>
        <v>-0.327598930100435-0.551762903889622i</v>
      </c>
      <c r="F68" s="73" t="str">
        <f t="shared" si="32"/>
        <v>-0.0000861022619403013-0.000116227798803661i</v>
      </c>
      <c r="G68" s="73" t="str">
        <f t="shared" si="33"/>
        <v>-0.0258016712113597-0.034829183145402i</v>
      </c>
      <c r="H68" s="76">
        <f t="shared" si="34"/>
        <v>4.3345106250591459E-2</v>
      </c>
      <c r="I68" s="54" t="str">
        <f t="shared" si="35"/>
        <v>6.76532769556026-0.100441729886653i</v>
      </c>
      <c r="J68" s="78" t="str">
        <f t="shared" si="36"/>
        <v>0.0259779485376076-0.159069465100581i</v>
      </c>
      <c r="K68" s="78" t="str">
        <f t="shared" si="37"/>
        <v>0.159772122468469-1.07876632785294i</v>
      </c>
      <c r="L68" s="78" t="str">
        <f t="shared" si="38"/>
        <v>-0.0416949377765554+0.0222692415901635i</v>
      </c>
      <c r="M68" s="73">
        <f t="shared" si="39"/>
        <v>-26.508416124109367</v>
      </c>
      <c r="N68" s="73">
        <f t="shared" si="40"/>
        <v>331.89335129688305</v>
      </c>
      <c r="O68" s="73">
        <f t="shared" si="28"/>
        <v>-28.106648703116946</v>
      </c>
    </row>
    <row r="69" spans="1:15" ht="15" x14ac:dyDescent="0.2">
      <c r="A69" s="74">
        <f t="shared" si="41"/>
        <v>68</v>
      </c>
      <c r="B69" s="73">
        <f t="shared" si="42"/>
        <v>34000</v>
      </c>
      <c r="C69" s="73">
        <f t="shared" si="29"/>
        <v>299.66310559006206</v>
      </c>
      <c r="D69" s="54" t="str">
        <f t="shared" si="30"/>
        <v>0.000224248194674477-0.0000225693384740425i</v>
      </c>
      <c r="E69" s="54" t="str">
        <f t="shared" si="31"/>
        <v>-0.330401080778646-0.528890618948869i</v>
      </c>
      <c r="F69" s="73" t="str">
        <f t="shared" si="32"/>
        <v>-0.0000860285572779103-0.000111145832655268i</v>
      </c>
      <c r="G69" s="73" t="str">
        <f t="shared" si="33"/>
        <v>-0.0257795846433311-0.0333063053868709i</v>
      </c>
      <c r="H69" s="76">
        <f t="shared" si="34"/>
        <v>4.2117656189609817E-2</v>
      </c>
      <c r="I69" s="54" t="str">
        <f t="shared" si="35"/>
        <v>6.76532769556026-0.0989646456236137i</v>
      </c>
      <c r="J69" s="78" t="str">
        <f t="shared" si="36"/>
        <v>0.0252386512796657-0.156849168825497i</v>
      </c>
      <c r="K69" s="78" t="str">
        <f t="shared" si="37"/>
        <v>0.155225224091736-1.06363376006065i</v>
      </c>
      <c r="L69" s="78" t="str">
        <f t="shared" si="38"/>
        <v>-0.0394273526356187+0.0222500578296432i</v>
      </c>
      <c r="M69" s="73">
        <f t="shared" si="39"/>
        <v>-26.883348692276083</v>
      </c>
      <c r="N69" s="73">
        <f t="shared" si="40"/>
        <v>330.56263715603916</v>
      </c>
      <c r="O69" s="73">
        <f t="shared" si="28"/>
        <v>-29.437362843960841</v>
      </c>
    </row>
    <row r="70" spans="1:15" ht="15" x14ac:dyDescent="0.2">
      <c r="A70" s="74">
        <f t="shared" si="41"/>
        <v>69</v>
      </c>
      <c r="B70" s="73">
        <f t="shared" si="42"/>
        <v>34500</v>
      </c>
      <c r="C70" s="73">
        <f t="shared" si="29"/>
        <v>299.66310559006206</v>
      </c>
      <c r="D70" s="54" t="str">
        <f t="shared" si="30"/>
        <v>0.000224248180013685-0.000022242246612426i</v>
      </c>
      <c r="E70" s="54" t="str">
        <f t="shared" si="31"/>
        <v>-0.332214276180469-0.506916962769844i</v>
      </c>
      <c r="F70" s="73" t="str">
        <f t="shared" si="32"/>
        <v>-0.0000857734189059827-0.000106286014460228i</v>
      </c>
      <c r="G70" s="73" t="str">
        <f t="shared" si="33"/>
        <v>-0.0257031290864441-0.0318499971739422i</v>
      </c>
      <c r="H70" s="76">
        <f t="shared" si="34"/>
        <v>4.0927657700075323E-2</v>
      </c>
      <c r="I70" s="54" t="str">
        <f t="shared" si="35"/>
        <v>6.76532769556025-0.0975303753971845i</v>
      </c>
      <c r="J70" s="78" t="str">
        <f t="shared" si="36"/>
        <v>0.0245302124586575-0.154688335485875i</v>
      </c>
      <c r="K70" s="78" t="str">
        <f t="shared" si="37"/>
        <v>0.15086811429503-1.04890972107237i</v>
      </c>
      <c r="L70" s="78" t="str">
        <f t="shared" si="38"/>
        <v>-0.037285554268629+0.0221551129468145i</v>
      </c>
      <c r="M70" s="73">
        <f t="shared" si="39"/>
        <v>-27.2559698521958</v>
      </c>
      <c r="N70" s="73">
        <f t="shared" si="40"/>
        <v>329.28117690791908</v>
      </c>
      <c r="O70" s="73">
        <f t="shared" si="28"/>
        <v>-30.718823092080925</v>
      </c>
    </row>
    <row r="71" spans="1:15" ht="15" x14ac:dyDescent="0.2">
      <c r="A71" s="74">
        <f t="shared" si="41"/>
        <v>70</v>
      </c>
      <c r="B71" s="73">
        <f t="shared" si="42"/>
        <v>35000</v>
      </c>
      <c r="C71" s="73">
        <f t="shared" si="29"/>
        <v>299.66310559006206</v>
      </c>
      <c r="D71" s="54" t="str">
        <f t="shared" si="30"/>
        <v>0.000224248165976713-0.0000219245002325563i</v>
      </c>
      <c r="E71" s="54" t="str">
        <f t="shared" si="31"/>
        <v>-0.333148250971682-0.485841199333704i</v>
      </c>
      <c r="F71" s="73" t="str">
        <f t="shared" si="32"/>
        <v>-0.0000853597097665266-0.000101644889000605i</v>
      </c>
      <c r="G71" s="73" t="str">
        <f t="shared" si="33"/>
        <v>-0.0255791557209037-0.0304592231052784i</v>
      </c>
      <c r="H71" s="76">
        <f t="shared" si="34"/>
        <v>3.9775086166737167E-2</v>
      </c>
      <c r="I71" s="54" t="str">
        <f t="shared" si="35"/>
        <v>6.76532769556026-0.0961370843200818i</v>
      </c>
      <c r="J71" s="78" t="str">
        <f t="shared" si="36"/>
        <v>0.0238509522645789-0.152584679246154i</v>
      </c>
      <c r="K71" s="78" t="str">
        <f t="shared" si="37"/>
        <v>0.146690461746401-1.03457831743116i</v>
      </c>
      <c r="L71" s="78" t="str">
        <f t="shared" si="38"/>
        <v>-0.0352646699543017+0.0219955623852922i</v>
      </c>
      <c r="M71" s="73">
        <f t="shared" si="39"/>
        <v>-27.626066544085429</v>
      </c>
      <c r="N71" s="73">
        <f t="shared" si="40"/>
        <v>328.04705463281715</v>
      </c>
      <c r="O71" s="73">
        <f t="shared" si="28"/>
        <v>-31.952945367182849</v>
      </c>
    </row>
    <row r="72" spans="1:15" ht="15" x14ac:dyDescent="0.2">
      <c r="A72" s="74">
        <f t="shared" si="41"/>
        <v>71</v>
      </c>
      <c r="B72" s="73">
        <f t="shared" si="42"/>
        <v>35500</v>
      </c>
      <c r="C72" s="73">
        <f t="shared" si="29"/>
        <v>299.66310559006206</v>
      </c>
      <c r="D72" s="54" t="str">
        <f t="shared" si="30"/>
        <v>0.000224248152528665-0.0000216157044549238i</v>
      </c>
      <c r="E72" s="54" t="str">
        <f t="shared" si="31"/>
        <v>-0.333303933678997-0.465654846344132i</v>
      </c>
      <c r="F72" s="73" t="str">
        <f t="shared" si="32"/>
        <v>-0.0000848082488946295-0.0000972176396846222i</v>
      </c>
      <c r="G72" s="73" t="str">
        <f t="shared" si="33"/>
        <v>-0.0254139032434196-0.0291325398260295i</v>
      </c>
      <c r="H72" s="76">
        <f t="shared" si="34"/>
        <v>3.8659686428902759E-2</v>
      </c>
      <c r="I72" s="54" t="str">
        <f t="shared" si="35"/>
        <v>6.76532769556025-0.0947830408789539i</v>
      </c>
      <c r="J72" s="78" t="str">
        <f t="shared" si="36"/>
        <v>0.023199302715042-0.15053602581634i</v>
      </c>
      <c r="K72" s="78" t="str">
        <f t="shared" si="37"/>
        <v>0.142682622887054-1.02062444509246i</v>
      </c>
      <c r="L72" s="78" t="str">
        <f t="shared" si="38"/>
        <v>-0.0333595046666443+0.0217813437017092i</v>
      </c>
      <c r="M72" s="73">
        <f t="shared" si="39"/>
        <v>-27.993455023562476</v>
      </c>
      <c r="N72" s="73">
        <f t="shared" si="40"/>
        <v>326.85836873439553</v>
      </c>
      <c r="O72" s="73">
        <f t="shared" si="28"/>
        <v>-33.141631265604474</v>
      </c>
    </row>
    <row r="73" spans="1:15" ht="15" x14ac:dyDescent="0.2">
      <c r="A73" s="74">
        <f t="shared" si="41"/>
        <v>72</v>
      </c>
      <c r="B73" s="73">
        <f t="shared" si="42"/>
        <v>36000</v>
      </c>
      <c r="C73" s="73">
        <f t="shared" si="29"/>
        <v>299.66310559006206</v>
      </c>
      <c r="D73" s="54" t="str">
        <f t="shared" si="30"/>
        <v>0.000224248139637053-0.0000213154863377691i</v>
      </c>
      <c r="E73" s="54" t="str">
        <f t="shared" si="31"/>
        <v>-0.3327736520237-0.446343199435663i</v>
      </c>
      <c r="F73" s="73" t="str">
        <f t="shared" si="32"/>
        <v>-0.0000841378947560698-0.0000929983998798168i</v>
      </c>
      <c r="G73" s="73" t="str">
        <f t="shared" si="33"/>
        <v>-0.0252130228404137-0.0278681893228924i</v>
      </c>
      <c r="H73" s="76">
        <f t="shared" si="34"/>
        <v>3.7581012451606423E-2</v>
      </c>
      <c r="I73" s="54" t="str">
        <f t="shared" si="35"/>
        <v>6.76532769556025-0.093466609755635i</v>
      </c>
      <c r="J73" s="78" t="str">
        <f t="shared" si="36"/>
        <v>0.0225737989141457-0.148540306034185i</v>
      </c>
      <c r="K73" s="78" t="str">
        <f t="shared" si="37"/>
        <v>0.138835588170798-1.00703374277388i</v>
      </c>
      <c r="L73" s="78" t="str">
        <f t="shared" si="38"/>
        <v>-0.031564671853776+0.0215212683017262i</v>
      </c>
      <c r="M73" s="73">
        <f t="shared" si="39"/>
        <v>-28.357978352765297</v>
      </c>
      <c r="N73" s="73">
        <f t="shared" si="40"/>
        <v>325.71324553838519</v>
      </c>
      <c r="O73" s="73">
        <f t="shared" si="28"/>
        <v>-34.286754461614805</v>
      </c>
    </row>
    <row r="74" spans="1:15" ht="15" x14ac:dyDescent="0.2">
      <c r="A74" s="74">
        <f t="shared" si="41"/>
        <v>73</v>
      </c>
      <c r="B74" s="73">
        <f t="shared" si="42"/>
        <v>36500</v>
      </c>
      <c r="C74" s="73">
        <f t="shared" si="29"/>
        <v>299.66310559006206</v>
      </c>
      <c r="D74" s="54" t="str">
        <f t="shared" si="30"/>
        <v>0.000224248127271597-0.0000210234933744981i</v>
      </c>
      <c r="E74" s="54" t="str">
        <f t="shared" si="31"/>
        <v>-0.331641465588464-0.427886655849379i</v>
      </c>
      <c r="F74" s="73" t="str">
        <f t="shared" si="32"/>
        <v>-0.0000833656498581064-0.0000889805191042216i</v>
      </c>
      <c r="G74" s="73" t="str">
        <f t="shared" si="33"/>
        <v>-0.0249816095360139-0.0266641786917869i</v>
      </c>
      <c r="H74" s="76">
        <f t="shared" si="34"/>
        <v>3.6538462478837325E-2</v>
      </c>
      <c r="I74" s="54" t="str">
        <f t="shared" si="35"/>
        <v>6.76532769556026-0.0921862452384345i</v>
      </c>
      <c r="J74" s="78" t="str">
        <f t="shared" si="36"/>
        <v>0.0219730710913381-0.146595549857945i</v>
      </c>
      <c r="K74" s="78" t="str">
        <f t="shared" si="37"/>
        <v>0.135140933100676-0.993792548420108i</v>
      </c>
      <c r="L74" s="78" t="str">
        <f t="shared" si="38"/>
        <v>-0.0298747001166937+0.0212231154156601i</v>
      </c>
      <c r="M74" s="73">
        <f t="shared" si="39"/>
        <v>-28.719503966636818</v>
      </c>
      <c r="N74" s="73">
        <f t="shared" si="40"/>
        <v>324.60985007964416</v>
      </c>
      <c r="O74" s="73">
        <f t="shared" si="28"/>
        <v>-35.390149920355839</v>
      </c>
    </row>
    <row r="75" spans="1:15" ht="15" x14ac:dyDescent="0.2">
      <c r="A75" s="74">
        <f t="shared" si="41"/>
        <v>74</v>
      </c>
      <c r="B75" s="73">
        <f t="shared" si="42"/>
        <v>37000</v>
      </c>
      <c r="C75" s="73">
        <f t="shared" si="29"/>
        <v>299.66310559006206</v>
      </c>
      <c r="D75" s="54" t="str">
        <f t="shared" si="30"/>
        <v>0.000224248115404047-0.0000207393921129267i</v>
      </c>
      <c r="E75" s="54" t="str">
        <f t="shared" si="31"/>
        <v>-0.329983585977756-0.410261850846i</v>
      </c>
      <c r="F75" s="73" t="str">
        <f t="shared" si="32"/>
        <v>-0.0000825067786634513-0.0000851567878939694i</v>
      </c>
      <c r="G75" s="73" t="str">
        <f t="shared" si="33"/>
        <v>-0.0247242375265217-0.0255183475223811i</v>
      </c>
      <c r="H75" s="76">
        <f t="shared" si="34"/>
        <v>3.5531309876514226E-2</v>
      </c>
      <c r="I75" s="54" t="str">
        <f t="shared" si="35"/>
        <v>6.76532769556025-0.0909404851676448i</v>
      </c>
      <c r="J75" s="78" t="str">
        <f t="shared" si="36"/>
        <v>0.021395837342444-0.144699880742382i</v>
      </c>
      <c r="K75" s="78" t="str">
        <f t="shared" si="37"/>
        <v>0.131590773584126-0.980887858559192i</v>
      </c>
      <c r="L75" s="78" t="str">
        <f t="shared" si="38"/>
        <v>-0.0282841187975903+0.02089372531084i</v>
      </c>
      <c r="M75" s="73">
        <f t="shared" si="39"/>
        <v>-29.077921346983103</v>
      </c>
      <c r="N75" s="73">
        <f t="shared" si="40"/>
        <v>323.54639446225269</v>
      </c>
      <c r="O75" s="73">
        <f t="shared" si="28"/>
        <v>-36.453605537747308</v>
      </c>
    </row>
    <row r="76" spans="1:15" ht="15" x14ac:dyDescent="0.2">
      <c r="A76" s="74">
        <f t="shared" si="41"/>
        <v>75</v>
      </c>
      <c r="B76" s="73">
        <f t="shared" si="42"/>
        <v>37500</v>
      </c>
      <c r="C76" s="73">
        <f t="shared" si="29"/>
        <v>299.66310559006206</v>
      </c>
      <c r="D76" s="54" t="str">
        <f t="shared" si="30"/>
        <v>0.000224248104008026-0.0000204628668849876i</v>
      </c>
      <c r="E76" s="54" t="str">
        <f t="shared" si="31"/>
        <v>-0.327868852459016-0.39344262295082i</v>
      </c>
      <c r="F76" s="73" t="str">
        <f t="shared" si="32"/>
        <v>-0.0000815749325475445-0.0000815196255490636i</v>
      </c>
      <c r="G76" s="73" t="str">
        <f t="shared" si="33"/>
        <v>-0.024444997625497-0.0244284241585714i</v>
      </c>
      <c r="H76" s="76">
        <f t="shared" si="34"/>
        <v>3.4558729950355943E-2</v>
      </c>
      <c r="I76" s="54" t="str">
        <f t="shared" si="35"/>
        <v>6.76532769556025-0.0897279453654096i</v>
      </c>
      <c r="J76" s="78" t="str">
        <f t="shared" si="36"/>
        <v>0.0208408970035795-0.142851510372364i</v>
      </c>
      <c r="K76" s="78" t="str">
        <f t="shared" si="37"/>
        <v>0.128177725180577-0.96830729034247i</v>
      </c>
      <c r="L76" s="78" t="str">
        <f t="shared" si="38"/>
        <v>-0.0267875253920036+0.0205390895747812i</v>
      </c>
      <c r="M76" s="73">
        <f t="shared" si="39"/>
        <v>-29.433139826089779</v>
      </c>
      <c r="N76" s="73">
        <f t="shared" si="40"/>
        <v>322.5211441479338</v>
      </c>
      <c r="O76" s="73">
        <f t="shared" si="28"/>
        <v>-37.478855852066204</v>
      </c>
    </row>
    <row r="77" spans="1:15" ht="15" x14ac:dyDescent="0.2">
      <c r="A77" s="74">
        <f t="shared" si="41"/>
        <v>76</v>
      </c>
      <c r="B77" s="73">
        <f t="shared" si="42"/>
        <v>38000</v>
      </c>
      <c r="C77" s="73">
        <f t="shared" si="29"/>
        <v>299.66310559006206</v>
      </c>
      <c r="D77" s="54" t="str">
        <f t="shared" si="30"/>
        <v>0.000224248093058883-0.0000201936186367221i</v>
      </c>
      <c r="E77" s="54" t="str">
        <f t="shared" si="31"/>
        <v>-0.325359237914116-0.377400825419304i</v>
      </c>
      <c r="F77" s="73" t="str">
        <f t="shared" si="32"/>
        <v>-0.0000805822770030335-0.0000780612350487551i</v>
      </c>
      <c r="G77" s="73" t="str">
        <f t="shared" si="33"/>
        <v>-0.0241475353822477-0.0233920721209058i</v>
      </c>
      <c r="H77" s="76">
        <f t="shared" si="34"/>
        <v>3.3619823068341138E-2</v>
      </c>
      <c r="I77" s="54" t="str">
        <f t="shared" si="35"/>
        <v>6.76532769556025-0.0885473145053384i</v>
      </c>
      <c r="J77" s="78" t="str">
        <f t="shared" si="36"/>
        <v>0.0203071245961997-0.141048733729992i</v>
      </c>
      <c r="K77" s="78" t="str">
        <f t="shared" si="37"/>
        <v>0.124894865861693-0.956039046075537i</v>
      </c>
      <c r="L77" s="78" t="str">
        <f t="shared" si="38"/>
        <v>-0.0253796375086573+0.0201644369821518i</v>
      </c>
      <c r="M77" s="73">
        <f t="shared" si="39"/>
        <v>-29.785086533065463</v>
      </c>
      <c r="N77" s="73">
        <f t="shared" si="40"/>
        <v>321.53242249470139</v>
      </c>
      <c r="O77" s="73">
        <f t="shared" si="28"/>
        <v>-38.467577505298607</v>
      </c>
    </row>
    <row r="78" spans="1:15" ht="15" x14ac:dyDescent="0.2">
      <c r="A78" s="74">
        <f t="shared" si="41"/>
        <v>77</v>
      </c>
      <c r="B78" s="73">
        <f t="shared" si="42"/>
        <v>38500</v>
      </c>
      <c r="C78" s="73">
        <f t="shared" si="29"/>
        <v>299.66310559006206</v>
      </c>
      <c r="D78" s="54" t="str">
        <f t="shared" si="30"/>
        <v>0.000224248082533556-0.000019931363849442i</v>
      </c>
      <c r="E78" s="54" t="str">
        <f t="shared" si="31"/>
        <v>-0.322510365759674-0.362107001509111i</v>
      </c>
      <c r="F78" s="73" t="str">
        <f t="shared" si="32"/>
        <v>-0.0000795396175183112-0.0000747737293152209i</v>
      </c>
      <c r="G78" s="73" t="str">
        <f t="shared" si="33"/>
        <v>-0.0238350888029828-0.0224069279431498i</v>
      </c>
      <c r="H78" s="76">
        <f t="shared" si="34"/>
        <v>3.2713634437273757E-2</v>
      </c>
      <c r="I78" s="54" t="str">
        <f t="shared" si="35"/>
        <v>6.76532769556025-0.0873973493818924i</v>
      </c>
      <c r="J78" s="78" t="str">
        <f t="shared" si="36"/>
        <v>0.0197934642881614-0.139289924472787i</v>
      </c>
      <c r="K78" s="78" t="str">
        <f t="shared" si="37"/>
        <v>0.121735701945256-0.944071880062112i</v>
      </c>
      <c r="L78" s="78" t="str">
        <f t="shared" si="38"/>
        <v>-0.0240553318560643+0.0197743139960833i</v>
      </c>
      <c r="M78" s="73">
        <f t="shared" si="39"/>
        <v>-30.133704489373194</v>
      </c>
      <c r="N78" s="73">
        <f t="shared" si="40"/>
        <v>320.57861383281704</v>
      </c>
      <c r="O78" s="73">
        <f t="shared" si="28"/>
        <v>-39.421386167182959</v>
      </c>
    </row>
    <row r="79" spans="1:15" ht="15" x14ac:dyDescent="0.2">
      <c r="A79" s="74">
        <f t="shared" si="41"/>
        <v>78</v>
      </c>
      <c r="B79" s="73">
        <f t="shared" si="42"/>
        <v>39000</v>
      </c>
      <c r="C79" s="73">
        <f t="shared" si="29"/>
        <v>299.66310559006206</v>
      </c>
      <c r="D79" s="54" t="str">
        <f t="shared" si="30"/>
        <v>0.000224248072410446-0.0000196758335438791i</v>
      </c>
      <c r="E79" s="54" t="str">
        <f t="shared" si="31"/>
        <v>-0.319372023352939-0.34753094059053i</v>
      </c>
      <c r="F79" s="73" t="str">
        <f t="shared" si="32"/>
        <v>-0.0000784565215571275-0.0000716492327603513i</v>
      </c>
      <c r="G79" s="73" t="str">
        <f t="shared" si="33"/>
        <v>-0.0235105249036025-0.0214706316021121i</v>
      </c>
      <c r="H79" s="76">
        <f t="shared" si="34"/>
        <v>3.1839170884879024E-2</v>
      </c>
      <c r="I79" s="54" t="str">
        <f t="shared" si="35"/>
        <v>6.76532769556024-0.086276870543663i</v>
      </c>
      <c r="J79" s="78" t="str">
        <f t="shared" si="36"/>
        <v>0.0192989248215473-0.137573530601928i</v>
      </c>
      <c r="K79" s="78" t="str">
        <f t="shared" si="37"/>
        <v>0.118694136899772-0.932395067595688i</v>
      </c>
      <c r="L79" s="78" t="str">
        <f t="shared" si="38"/>
        <v>-0.0228096724654671+0.0193726593699989i</v>
      </c>
      <c r="M79" s="73">
        <f t="shared" si="39"/>
        <v>-30.478950854914643</v>
      </c>
      <c r="N79" s="73">
        <f t="shared" si="40"/>
        <v>319.65816533072359</v>
      </c>
      <c r="O79" s="73">
        <f t="shared" si="28"/>
        <v>-40.341834669276409</v>
      </c>
    </row>
    <row r="80" spans="1:15" ht="15" x14ac:dyDescent="0.2">
      <c r="A80" s="74">
        <f t="shared" si="41"/>
        <v>79</v>
      </c>
      <c r="B80" s="73">
        <f t="shared" si="42"/>
        <v>39500</v>
      </c>
      <c r="C80" s="73">
        <f t="shared" si="29"/>
        <v>299.66310559006206</v>
      </c>
      <c r="D80" s="54" t="str">
        <f t="shared" si="30"/>
        <v>0.000224248062669319-0.0000194267723599687i</v>
      </c>
      <c r="E80" s="54" t="str">
        <f t="shared" si="31"/>
        <v>-0.315988661370671-0.333642131091727i</v>
      </c>
      <c r="F80" s="73" t="str">
        <f t="shared" si="32"/>
        <v>-0.0000773414348682583-0.0000686799617294035i</v>
      </c>
      <c r="G80" s="73" t="str">
        <f t="shared" si="33"/>
        <v>-0.0231763745634138-0.0205808506236397i</v>
      </c>
      <c r="H80" s="76">
        <f t="shared" si="34"/>
        <v>3.0995414988288589E-2</v>
      </c>
      <c r="I80" s="54" t="str">
        <f t="shared" si="35"/>
        <v>6.76532769556025-0.0851847582583001i</v>
      </c>
      <c r="J80" s="78" t="str">
        <f t="shared" si="36"/>
        <v>0.0188225748631757-0.135898070400929i</v>
      </c>
      <c r="K80" s="78" t="str">
        <f t="shared" si="37"/>
        <v>0.115764442748726-0.92099837594612i</v>
      </c>
      <c r="L80" s="78" t="str">
        <f t="shared" si="38"/>
        <v>-0.0216379300862312+0.0189628726294827i</v>
      </c>
      <c r="M80" s="73">
        <f t="shared" si="39"/>
        <v>-30.820795322265511</v>
      </c>
      <c r="N80" s="73">
        <f t="shared" si="40"/>
        <v>318.76958787083242</v>
      </c>
      <c r="O80" s="73">
        <f t="shared" si="28"/>
        <v>-41.230412129167576</v>
      </c>
    </row>
    <row r="81" spans="1:18" ht="15" x14ac:dyDescent="0.2">
      <c r="A81" s="74">
        <f t="shared" si="41"/>
        <v>80</v>
      </c>
      <c r="B81" s="73">
        <f t="shared" si="42"/>
        <v>40000</v>
      </c>
      <c r="C81" s="73">
        <f t="shared" si="29"/>
        <v>299.66310559006206</v>
      </c>
      <c r="D81" s="54" t="str">
        <f t="shared" si="30"/>
        <v>0.000224248053291197-0.000019183937705649i</v>
      </c>
      <c r="E81" s="54" t="str">
        <f t="shared" si="31"/>
        <v>-0.31239987183595-0.320410124959949i</v>
      </c>
      <c r="F81" s="73" t="str">
        <f t="shared" si="32"/>
        <v>-0.0000762017909851221-0.0000658582870965041i</v>
      </c>
      <c r="G81" s="73" t="str">
        <f t="shared" si="33"/>
        <v>-0.0228348653381265-0.0197352988401803i</v>
      </c>
      <c r="H81" s="76">
        <f t="shared" si="34"/>
        <v>3.0181336871013396E-2</v>
      </c>
      <c r="I81" s="54" t="str">
        <f t="shared" si="35"/>
        <v>6.76532769556024-0.0841199487800714i</v>
      </c>
      <c r="J81" s="78" t="str">
        <f t="shared" si="36"/>
        <v>0.0183635387383159-0.134262128626513i</v>
      </c>
      <c r="K81" s="78" t="str">
        <f t="shared" si="37"/>
        <v>0.112941233831656-0.909872037199908i</v>
      </c>
      <c r="L81" s="78" t="str">
        <f t="shared" si="38"/>
        <v>-0.0205355944261316+0.0185478764433403i</v>
      </c>
      <c r="M81" s="73">
        <f t="shared" si="39"/>
        <v>-31.159218653968026</v>
      </c>
      <c r="N81" s="73">
        <f t="shared" si="40"/>
        <v>317.91145612459138</v>
      </c>
      <c r="O81" s="73">
        <f t="shared" si="28"/>
        <v>-42.088543875408618</v>
      </c>
    </row>
    <row r="82" spans="1:18" ht="15" x14ac:dyDescent="0.2">
      <c r="A82" s="74">
        <f t="shared" si="41"/>
        <v>81</v>
      </c>
      <c r="B82" s="73">
        <f t="shared" si="42"/>
        <v>40500</v>
      </c>
      <c r="C82" s="73">
        <f t="shared" si="29"/>
        <v>299.66310559006206</v>
      </c>
      <c r="D82" s="54" t="str">
        <f t="shared" si="30"/>
        <v>0.000224248044258267-0.0000189470989687135i</v>
      </c>
      <c r="E82" s="54" t="str">
        <f t="shared" si="31"/>
        <v>-0.308640839982196-0.307804826872173i</v>
      </c>
      <c r="F82" s="73" t="str">
        <f t="shared" si="32"/>
        <v>-0.000075044113262031-0.0000631767818984097i</v>
      </c>
      <c r="G82" s="73" t="str">
        <f t="shared" si="33"/>
        <v>-0.0224879520363526-0.0189317506648635i</v>
      </c>
      <c r="H82" s="76">
        <f t="shared" si="34"/>
        <v>2.9395903966808957E-2</v>
      </c>
      <c r="I82" s="54" t="str">
        <f t="shared" si="35"/>
        <v>6.76532769556024-0.0830814308938976i</v>
      </c>
      <c r="J82" s="78" t="str">
        <f t="shared" si="36"/>
        <v>0.0179209925121929-0.132664352934656i</v>
      </c>
      <c r="K82" s="78" t="str">
        <f t="shared" si="37"/>
        <v>0.110219442704242-0.899006722823358i</v>
      </c>
      <c r="L82" s="78" t="str">
        <f t="shared" si="38"/>
        <v>-0.0194983806635344+0.0181301730555133i</v>
      </c>
      <c r="M82" s="73">
        <f t="shared" si="39"/>
        <v>-31.494211355952366</v>
      </c>
      <c r="N82" s="73">
        <f t="shared" si="40"/>
        <v>317.0824079885889</v>
      </c>
      <c r="O82" s="73">
        <f t="shared" si="28"/>
        <v>-42.917592011411102</v>
      </c>
    </row>
    <row r="83" spans="1:18" ht="15" x14ac:dyDescent="0.2">
      <c r="A83" s="74">
        <f t="shared" si="41"/>
        <v>82</v>
      </c>
      <c r="B83" s="73">
        <f t="shared" si="42"/>
        <v>41000</v>
      </c>
      <c r="C83" s="73">
        <f t="shared" si="29"/>
        <v>299.66310559006206</v>
      </c>
      <c r="D83" s="54" t="str">
        <f t="shared" si="30"/>
        <v>0.000224248035553788-0.0000187160367863311i</v>
      </c>
      <c r="E83" s="54" t="str">
        <f t="shared" si="31"/>
        <v>-0.304742767092029-0.295796719952017i</v>
      </c>
      <c r="F83" s="73" t="str">
        <f t="shared" si="32"/>
        <v>-0.0000738741091615111-0.000060628256533231i</v>
      </c>
      <c r="G83" s="73" t="str">
        <f t="shared" si="33"/>
        <v>-0.0221373449740377-0.018168051639259i</v>
      </c>
      <c r="H83" s="76">
        <f t="shared" si="34"/>
        <v>2.8638089022599501E-2</v>
      </c>
      <c r="I83" s="54" t="str">
        <f t="shared" si="35"/>
        <v>6.76532769556024-0.0820682427122647i</v>
      </c>
      <c r="J83" s="78" t="str">
        <f t="shared" si="36"/>
        <v>0.0174941603874806-0.131103450525979i</v>
      </c>
      <c r="K83" s="78" t="str">
        <f t="shared" si="37"/>
        <v>0.107594297981814-0.888393519827644i</v>
      </c>
      <c r="L83" s="78" t="str">
        <f t="shared" si="38"/>
        <v>-0.0185222314358745+0.0177118950593007i</v>
      </c>
      <c r="M83" s="73">
        <f t="shared" si="39"/>
        <v>-31.825772478997969</v>
      </c>
      <c r="N83" s="73">
        <f t="shared" si="40"/>
        <v>316.28114351867958</v>
      </c>
      <c r="O83" s="73">
        <f t="shared" si="28"/>
        <v>-43.718856481320415</v>
      </c>
    </row>
    <row r="84" spans="1:18" ht="15" x14ac:dyDescent="0.2">
      <c r="A84" s="74">
        <f t="shared" si="41"/>
        <v>83</v>
      </c>
      <c r="B84" s="73">
        <f t="shared" si="42"/>
        <v>41500</v>
      </c>
      <c r="C84" s="73">
        <f t="shared" si="29"/>
        <v>299.66310559006206</v>
      </c>
      <c r="D84" s="54" t="str">
        <f t="shared" si="30"/>
        <v>0.00022424802716203-0.0000184905423673739i</v>
      </c>
      <c r="E84" s="54" t="str">
        <f t="shared" si="31"/>
        <v>-0.300733262929728-0.284357038313596i</v>
      </c>
      <c r="F84" s="73" t="str">
        <f t="shared" si="32"/>
        <v>-0.0000726967567783901-0.0000582057837119809i</v>
      </c>
      <c r="G84" s="73" t="str">
        <f t="shared" si="33"/>
        <v>-0.0217845359025378-0.0174421259104356i</v>
      </c>
      <c r="H84" s="76">
        <f t="shared" si="34"/>
        <v>2.7906876585609634E-2</v>
      </c>
      <c r="I84" s="54" t="str">
        <f t="shared" si="35"/>
        <v>6.76532769556024-0.0810794687036832i</v>
      </c>
      <c r="J84" s="78" t="str">
        <f t="shared" si="36"/>
        <v>0.0170823113891904-0.129578184995751i</v>
      </c>
      <c r="K84" s="78" t="str">
        <f t="shared" si="37"/>
        <v>0.105061303950431-0.878023908423849i</v>
      </c>
      <c r="L84" s="78" t="str">
        <f t="shared" si="38"/>
        <v>-0.0176033153109772+0.0172948508645279i</v>
      </c>
      <c r="M84" s="73">
        <f t="shared" si="39"/>
        <v>-32.153908539494452</v>
      </c>
      <c r="N84" s="73">
        <f t="shared" si="40"/>
        <v>315.50642347724829</v>
      </c>
      <c r="O84" s="73">
        <f t="shared" si="28"/>
        <v>-44.493576522751709</v>
      </c>
      <c r="P84" s="73">
        <v>-27.673999999999999</v>
      </c>
      <c r="Q84" s="73">
        <v>318.15300000000002</v>
      </c>
      <c r="R84" s="73">
        <f>B84</f>
        <v>41500</v>
      </c>
    </row>
    <row r="85" spans="1:18" ht="15" x14ac:dyDescent="0.2">
      <c r="A85" s="74">
        <f t="shared" si="41"/>
        <v>84</v>
      </c>
      <c r="B85" s="73">
        <f t="shared" si="42"/>
        <v>42000</v>
      </c>
      <c r="C85" s="73">
        <f t="shared" si="29"/>
        <v>299.66310559006206</v>
      </c>
      <c r="D85" s="54" t="str">
        <f t="shared" si="30"/>
        <v>0.000224248019068189-0.0000182704168631483i</v>
      </c>
      <c r="E85" s="54" t="str">
        <f t="shared" si="31"/>
        <v>-0.296636707487767-0.273457895401365i</v>
      </c>
      <c r="F85" s="73" t="str">
        <f t="shared" si="32"/>
        <v>-0.0000715163837805437-0.0000559027150395988i</v>
      </c>
      <c r="G85" s="73" t="str">
        <f t="shared" si="33"/>
        <v>-0.0214308216642485-0.0167519811996824i</v>
      </c>
      <c r="H85" s="76">
        <f t="shared" si="34"/>
        <v>2.7201268193217307E-2</v>
      </c>
      <c r="I85" s="54" t="str">
        <f t="shared" si="35"/>
        <v>6.76532769556023-0.0801142369334012i</v>
      </c>
      <c r="J85" s="78" t="str">
        <f t="shared" si="36"/>
        <v>0.0166847563112236-0.128087373374813i</v>
      </c>
      <c r="K85" s="78" t="str">
        <f t="shared" si="37"/>
        <v>0.102616221787268-0.86788974106448i</v>
      </c>
      <c r="L85" s="78" t="str">
        <f t="shared" si="38"/>
        <v>-0.0167380225746913+0.0168805652468209i</v>
      </c>
      <c r="M85" s="73">
        <f t="shared" si="39"/>
        <v>-32.478632550507875</v>
      </c>
      <c r="N85" s="73">
        <f t="shared" si="40"/>
        <v>314.75706758963383</v>
      </c>
      <c r="O85" s="73">
        <f t="shared" si="28"/>
        <v>-45.242932410366166</v>
      </c>
    </row>
    <row r="86" spans="1:18" ht="15" x14ac:dyDescent="0.2">
      <c r="A86" s="74">
        <f t="shared" si="41"/>
        <v>85</v>
      </c>
      <c r="B86" s="73">
        <f t="shared" si="42"/>
        <v>42500</v>
      </c>
      <c r="C86" s="73">
        <f t="shared" si="29"/>
        <v>299.66310559006206</v>
      </c>
      <c r="D86" s="54" t="str">
        <f t="shared" si="30"/>
        <v>0.000224248011258333-0.0000180554707825464i</v>
      </c>
      <c r="E86" s="54" t="str">
        <f t="shared" si="31"/>
        <v>-0.292474582566039-0.263072375853051i</v>
      </c>
      <c r="F86" s="73" t="str">
        <f t="shared" si="32"/>
        <v>-0.0000703367390799552-0.0000537126908218928i</v>
      </c>
      <c r="G86" s="73" t="str">
        <f t="shared" si="33"/>
        <v>-0.0210773256697773-0.0160957117412872i</v>
      </c>
      <c r="H86" s="76">
        <f t="shared" si="34"/>
        <v>2.6520286458642631E-2</v>
      </c>
      <c r="I86" s="54" t="str">
        <f t="shared" si="35"/>
        <v>6.76532769556024-0.0791717164988906i</v>
      </c>
      <c r="J86" s="78" t="str">
        <f t="shared" si="36"/>
        <v>0.016300844901397-0.126629883348669i</v>
      </c>
      <c r="K86" s="78" t="str">
        <f t="shared" si="37"/>
        <v>0.100255052247685-0.857983222775539i</v>
      </c>
      <c r="L86" s="78" t="str">
        <f t="shared" si="38"/>
        <v>-0.0159229590189207+0.0164703153840587i</v>
      </c>
      <c r="M86" s="73">
        <f t="shared" si="39"/>
        <v>-32.799963154179466</v>
      </c>
      <c r="N86" s="73">
        <f t="shared" si="40"/>
        <v>314.0319525892088</v>
      </c>
      <c r="O86" s="73">
        <f t="shared" si="28"/>
        <v>-45.9680474107912</v>
      </c>
    </row>
    <row r="87" spans="1:18" ht="15" x14ac:dyDescent="0.2">
      <c r="A87" s="74">
        <f t="shared" si="41"/>
        <v>86</v>
      </c>
      <c r="B87" s="73">
        <f t="shared" si="42"/>
        <v>43000</v>
      </c>
      <c r="C87" s="73">
        <f t="shared" si="29"/>
        <v>299.66310559006206</v>
      </c>
      <c r="D87" s="54" t="str">
        <f t="shared" si="30"/>
        <v>0.000224248003719323-0.0000178455234480002i</v>
      </c>
      <c r="E87" s="54" t="str">
        <f t="shared" si="31"/>
        <v>-0.288265774261145-0.253174597492427i</v>
      </c>
      <c r="F87" s="73" t="str">
        <f t="shared" si="32"/>
        <v>-0.0000691610576346559-0.0000516296444462867i</v>
      </c>
      <c r="G87" s="73" t="str">
        <f t="shared" si="33"/>
        <v>-0.0207250173166943-0.015471499595285i</v>
      </c>
      <c r="H87" s="76">
        <f t="shared" si="34"/>
        <v>2.5862978221855709E-2</v>
      </c>
      <c r="I87" s="54" t="str">
        <f t="shared" si="35"/>
        <v>6.76532769556023-0.0782511151442524i</v>
      </c>
      <c r="J87" s="78" t="str">
        <f t="shared" si="36"/>
        <v>0.0159299632640252-0.125204630642928i</v>
      </c>
      <c r="K87" s="78" t="str">
        <f t="shared" si="37"/>
        <v>0.0979740196903334-0.848296892690607i</v>
      </c>
      <c r="L87" s="78" t="str">
        <f t="shared" si="38"/>
        <v>-0.0151549382866126+0.0160651627847234i</v>
      </c>
      <c r="M87" s="73">
        <f t="shared" si="39"/>
        <v>-33.117923846718476</v>
      </c>
      <c r="N87" s="73">
        <f t="shared" si="40"/>
        <v>313.33001011642858</v>
      </c>
      <c r="O87" s="73">
        <f t="shared" si="28"/>
        <v>-46.669989883571418</v>
      </c>
    </row>
    <row r="88" spans="1:18" ht="15" x14ac:dyDescent="0.2">
      <c r="A88" s="74">
        <f t="shared" si="41"/>
        <v>87</v>
      </c>
      <c r="B88" s="73">
        <f t="shared" si="42"/>
        <v>43500</v>
      </c>
      <c r="C88" s="73">
        <f t="shared" si="29"/>
        <v>299.66310559006206</v>
      </c>
      <c r="D88" s="54" t="str">
        <f t="shared" si="30"/>
        <v>0.000224247996438783-0.0000176404024889563i</v>
      </c>
      <c r="E88" s="54" t="str">
        <f t="shared" si="31"/>
        <v>-0.284026847815692-0.243739749062588i</v>
      </c>
      <c r="F88" s="73" t="str">
        <f t="shared" si="32"/>
        <v>-0.0000679921188335133-0.0000496478024666388i</v>
      </c>
      <c r="G88" s="73" t="str">
        <f t="shared" si="33"/>
        <v>-0.0203747294852991-0.0148776146728749i</v>
      </c>
      <c r="H88" s="76">
        <f t="shared" si="34"/>
        <v>2.522841691334712E-2</v>
      </c>
      <c r="I88" s="54" t="str">
        <f t="shared" si="35"/>
        <v>6.76532769556023-0.077351677039146i</v>
      </c>
      <c r="J88" s="78" t="str">
        <f t="shared" si="36"/>
        <v>0.0155715314611715-0.123810576564061i</v>
      </c>
      <c r="K88" s="78" t="str">
        <f t="shared" si="37"/>
        <v>0.0957695573241373-0.838823606704712i</v>
      </c>
      <c r="L88" s="78" t="str">
        <f t="shared" si="38"/>
        <v>-0.01443097322247+0.0156659815012311i</v>
      </c>
      <c r="M88" s="73">
        <f t="shared" si="39"/>
        <v>-33.432542287616968</v>
      </c>
      <c r="N88" s="73">
        <f t="shared" si="40"/>
        <v>312.65022452509174</v>
      </c>
      <c r="O88" s="73">
        <f t="shared" si="28"/>
        <v>-47.349775474908256</v>
      </c>
    </row>
    <row r="89" spans="1:18" ht="15" x14ac:dyDescent="0.2">
      <c r="A89" s="74">
        <f t="shared" si="41"/>
        <v>88</v>
      </c>
      <c r="B89" s="73">
        <f t="shared" si="42"/>
        <v>44000</v>
      </c>
      <c r="C89" s="73">
        <f t="shared" si="29"/>
        <v>299.66310559006206</v>
      </c>
      <c r="D89" s="54" t="str">
        <f t="shared" si="30"/>
        <v>0.00022424798940503-0.0000174399433698863i</v>
      </c>
      <c r="E89" s="54" t="str">
        <f t="shared" si="31"/>
        <v>-0.279772296507588-0.234744108435047i</v>
      </c>
      <c r="F89" s="73" t="str">
        <f t="shared" si="32"/>
        <v>-0.0000668322989405762-0.0000477616813336803i</v>
      </c>
      <c r="G89" s="73" t="str">
        <f t="shared" si="33"/>
        <v>-0.0200271742542565-0.0143124137566535i</v>
      </c>
      <c r="H89" s="76">
        <f t="shared" si="34"/>
        <v>2.4615704258704418E-2</v>
      </c>
      <c r="I89" s="54" t="str">
        <f t="shared" si="35"/>
        <v>6.76532769556023-0.0764726807091557i</v>
      </c>
      <c r="J89" s="78" t="str">
        <f t="shared" si="36"/>
        <v>0.0152250012954899-0.122446725685264i</v>
      </c>
      <c r="K89" s="78" t="str">
        <f t="shared" si="37"/>
        <v>0.0936382935721074-0.829556521172049i</v>
      </c>
      <c r="L89" s="78" t="str">
        <f t="shared" si="38"/>
        <v>-0.0137482665877843+0.0152734830021965i</v>
      </c>
      <c r="M89" s="73">
        <f t="shared" si="39"/>
        <v>-33.743849685181303</v>
      </c>
      <c r="N89" s="73">
        <f t="shared" si="40"/>
        <v>311.99163063881338</v>
      </c>
      <c r="O89" s="73">
        <f t="shared" si="28"/>
        <v>-48.008369361186624</v>
      </c>
    </row>
    <row r="90" spans="1:18" ht="15" x14ac:dyDescent="0.2">
      <c r="A90" s="74">
        <f t="shared" si="41"/>
        <v>89</v>
      </c>
      <c r="B90" s="73">
        <f t="shared" si="42"/>
        <v>44500</v>
      </c>
      <c r="C90" s="73">
        <f t="shared" si="29"/>
        <v>299.66310559006206</v>
      </c>
      <c r="D90" s="54" t="str">
        <f t="shared" si="30"/>
        <v>0.000224247982607037-0.0000172439889501171i</v>
      </c>
      <c r="E90" s="54" t="str">
        <f t="shared" si="31"/>
        <v>-0.275514766381876-0.226165045268281i</v>
      </c>
      <c r="F90" s="73" t="str">
        <f t="shared" si="32"/>
        <v>-0.0000656836180810938-0.000045966081550558i</v>
      </c>
      <c r="G90" s="73" t="str">
        <f t="shared" si="33"/>
        <v>-0.0196829569805721-0.0137743387492463i</v>
      </c>
      <c r="H90" s="76">
        <f t="shared" si="34"/>
        <v>2.4023971434341162E-2</v>
      </c>
      <c r="I90" s="54" t="str">
        <f t="shared" si="35"/>
        <v>6.76532769556023-0.075613437105682i</v>
      </c>
      <c r="J90" s="78" t="str">
        <f t="shared" si="36"/>
        <v>0.0148898542592087-0.121112123667898i</v>
      </c>
      <c r="K90" s="78" t="str">
        <f t="shared" si="37"/>
        <v>0.0915770394569819-0.820489077577087i</v>
      </c>
      <c r="L90" s="78" t="str">
        <f t="shared" si="38"/>
        <v>-0.0131042014226434+0.0148882380538455i</v>
      </c>
      <c r="M90" s="73">
        <f t="shared" si="39"/>
        <v>-34.051880250985597</v>
      </c>
      <c r="N90" s="73">
        <f t="shared" si="40"/>
        <v>311.35331149212107</v>
      </c>
      <c r="O90" s="73">
        <f t="shared" si="28"/>
        <v>-48.646688507878935</v>
      </c>
    </row>
    <row r="91" spans="1:18" ht="15" x14ac:dyDescent="0.2">
      <c r="A91" s="74">
        <f t="shared" si="41"/>
        <v>90</v>
      </c>
      <c r="B91" s="73">
        <f t="shared" si="42"/>
        <v>45000</v>
      </c>
      <c r="C91" s="73">
        <f t="shared" si="29"/>
        <v>299.66310559006206</v>
      </c>
      <c r="D91" s="54" t="str">
        <f t="shared" si="30"/>
        <v>0.000224247976034381-0.0000170523890730057i</v>
      </c>
      <c r="E91" s="54" t="str">
        <f t="shared" si="31"/>
        <v>-0.2712652586708-0.217981011431893i</v>
      </c>
      <c r="F91" s="73" t="str">
        <f t="shared" si="32"/>
        <v>-0.0000645477822428337-0.0000442560798946853i</v>
      </c>
      <c r="G91" s="73" t="str">
        <f t="shared" si="33"/>
        <v>-0.0193425888858386-0.0132619143424833i</v>
      </c>
      <c r="H91" s="76">
        <f t="shared" si="34"/>
        <v>2.3452379769096598E-2</v>
      </c>
      <c r="I91" s="54" t="str">
        <f t="shared" si="35"/>
        <v>6.76532769556023-0.0747732878045077i</v>
      </c>
      <c r="J91" s="78" t="str">
        <f t="shared" si="36"/>
        <v>0.0145655996352561-0.119805855209675i</v>
      </c>
      <c r="K91" s="78" t="str">
        <f t="shared" si="37"/>
        <v>0.0895827769225819-0.811614988113865i</v>
      </c>
      <c r="L91" s="78" t="str">
        <f t="shared" si="38"/>
        <v>-0.012496331276707+0.0145106959345622i</v>
      </c>
      <c r="M91" s="73">
        <f t="shared" si="39"/>
        <v>-34.356670716393182</v>
      </c>
      <c r="N91" s="73">
        <f t="shared" si="40"/>
        <v>310.73439608337185</v>
      </c>
      <c r="O91" s="73">
        <f t="shared" si="28"/>
        <v>-49.265603916628152</v>
      </c>
    </row>
    <row r="92" spans="1:18" ht="15" x14ac:dyDescent="0.2">
      <c r="A92" s="74">
        <f t="shared" si="41"/>
        <v>91</v>
      </c>
      <c r="B92" s="73">
        <f t="shared" si="42"/>
        <v>45500</v>
      </c>
      <c r="C92" s="73">
        <f t="shared" si="29"/>
        <v>299.66310559006206</v>
      </c>
      <c r="D92" s="54" t="str">
        <f t="shared" si="30"/>
        <v>0.000224247969677213-0.0000168650001822008i</v>
      </c>
      <c r="E92" s="54" t="str">
        <f t="shared" si="31"/>
        <v>-0.267033311733552-0.210171521949085i</v>
      </c>
      <c r="F92" s="73" t="str">
        <f t="shared" si="32"/>
        <v>-0.0000634262207483961-0.0000426270202300121i</v>
      </c>
      <c r="G92" s="73" t="str">
        <f t="shared" si="33"/>
        <v>-0.0190064982853052-0.0127737452641758i</v>
      </c>
      <c r="H92" s="76">
        <f t="shared" si="34"/>
        <v>2.2900121072679139E-2</v>
      </c>
      <c r="I92" s="54" t="str">
        <f t="shared" si="35"/>
        <v>6.76532769556028-0.0739516033231401i</v>
      </c>
      <c r="J92" s="78" t="str">
        <f t="shared" si="36"/>
        <v>0.0142517727378375-0.118527042111354i</v>
      </c>
      <c r="K92" s="78" t="str">
        <f t="shared" si="37"/>
        <v>0.087652648012839-0.802928222112943i</v>
      </c>
      <c r="L92" s="78" t="str">
        <f t="shared" si="38"/>
        <v>-0.0119223704788468+0.0141412012793663i</v>
      </c>
      <c r="M92" s="73">
        <f t="shared" si="39"/>
        <v>-34.658259904838403</v>
      </c>
      <c r="N92" s="73">
        <f t="shared" si="40"/>
        <v>310.13405716071367</v>
      </c>
      <c r="O92" s="73">
        <f t="shared" si="28"/>
        <v>-49.865942839286333</v>
      </c>
    </row>
    <row r="93" spans="1:18" ht="15" x14ac:dyDescent="0.2">
      <c r="A93" s="74">
        <f t="shared" si="41"/>
        <v>92</v>
      </c>
      <c r="B93" s="73">
        <f t="shared" si="42"/>
        <v>46000</v>
      </c>
      <c r="C93" s="73">
        <f t="shared" si="29"/>
        <v>299.66310559006206</v>
      </c>
      <c r="D93" s="54" t="str">
        <f t="shared" si="30"/>
        <v>0.000224247963526215-0.0000166816849629317i</v>
      </c>
      <c r="E93" s="54" t="str">
        <f t="shared" si="31"/>
        <v>-0.262827164292679-0.202717128730101i</v>
      </c>
      <c r="F93" s="73" t="str">
        <f t="shared" si="32"/>
        <v>-0.0000623201196300688-0.0000410745033351756i</v>
      </c>
      <c r="G93" s="73" t="str">
        <f t="shared" si="33"/>
        <v>-0.0186750405890906-0.0123085132299881i</v>
      </c>
      <c r="H93" s="76">
        <f t="shared" si="34"/>
        <v>2.236641765989747E-2</v>
      </c>
      <c r="I93" s="54" t="str">
        <f t="shared" si="35"/>
        <v>6.76532769556027-0.0731477815478885i</v>
      </c>
      <c r="J93" s="78" t="str">
        <f t="shared" si="36"/>
        <v>0.0139479332809439-0.117274841454313i</v>
      </c>
      <c r="K93" s="78" t="str">
        <f t="shared" si="37"/>
        <v>0.0857839448376332-0.794422993259982i</v>
      </c>
      <c r="L93" s="78" t="str">
        <f t="shared" si="38"/>
        <v>-0.0113801845744823+0.0137800088240824i</v>
      </c>
      <c r="M93" s="73">
        <f t="shared" si="39"/>
        <v>-34.956688354094581</v>
      </c>
      <c r="N93" s="73">
        <f t="shared" si="40"/>
        <v>309.55150905733439</v>
      </c>
      <c r="O93" s="73">
        <f t="shared" si="28"/>
        <v>-50.448490942665615</v>
      </c>
    </row>
    <row r="94" spans="1:18" ht="15" x14ac:dyDescent="0.2">
      <c r="A94" s="74">
        <f t="shared" si="41"/>
        <v>93</v>
      </c>
      <c r="B94" s="73">
        <f t="shared" si="42"/>
        <v>46500</v>
      </c>
      <c r="C94" s="73">
        <f t="shared" si="29"/>
        <v>299.66310559006206</v>
      </c>
      <c r="D94" s="54" t="str">
        <f t="shared" si="30"/>
        <v>0.00022424795757257-0.0000165023120064393i</v>
      </c>
      <c r="E94" s="54" t="str">
        <f t="shared" si="31"/>
        <v>-0.258653901662655-0.195599388962652i</v>
      </c>
      <c r="F94" s="73" t="str">
        <f t="shared" si="32"/>
        <v>-0.0000612304513109573-0.0000395943760903974i</v>
      </c>
      <c r="G94" s="73" t="str">
        <f t="shared" si="33"/>
        <v>-0.0183485071965226-0.0118649737031494i</v>
      </c>
      <c r="H94" s="76">
        <f t="shared" si="34"/>
        <v>2.1850522129168184E-2</v>
      </c>
      <c r="I94" s="54" t="str">
        <f t="shared" si="35"/>
        <v>6.76532769556028-0.0723612462624273i</v>
      </c>
      <c r="J94" s="78" t="str">
        <f t="shared" si="36"/>
        <v>0.0136536638643247-0.116048443881875i</v>
      </c>
      <c r="K94" s="78" t="str">
        <f t="shared" si="37"/>
        <v>0.0839741002610787-0.786093747553993i</v>
      </c>
      <c r="L94" s="78" t="str">
        <f t="shared" si="38"/>
        <v>-0.0108677810259002+0.0134272962927925i</v>
      </c>
      <c r="M94" s="73">
        <f t="shared" si="39"/>
        <v>-35.251997983267927</v>
      </c>
      <c r="N94" s="73">
        <f t="shared" si="40"/>
        <v>308.98600558818208</v>
      </c>
      <c r="O94" s="73">
        <f t="shared" si="28"/>
        <v>-51.013994411817919</v>
      </c>
    </row>
    <row r="95" spans="1:18" ht="15" x14ac:dyDescent="0.2">
      <c r="A95" s="74">
        <f t="shared" si="41"/>
        <v>94</v>
      </c>
      <c r="B95" s="73">
        <f t="shared" si="42"/>
        <v>47000</v>
      </c>
      <c r="C95" s="73">
        <f t="shared" si="29"/>
        <v>299.66310559006206</v>
      </c>
      <c r="D95" s="54" t="str">
        <f t="shared" si="30"/>
        <v>0.00022424795180792-0.0000163267554958266i</v>
      </c>
      <c r="E95" s="54" t="str">
        <f t="shared" si="31"/>
        <v>-0.254519586567639-0.188800829682434i</v>
      </c>
      <c r="F95" s="73" t="str">
        <f t="shared" si="32"/>
        <v>-0.0000601580009664259-0.0000381827202971331i</v>
      </c>
      <c r="G95" s="73" t="str">
        <f t="shared" si="33"/>
        <v>-0.0180271333956891-0.0114419525441156i</v>
      </c>
      <c r="H95" s="76">
        <f t="shared" si="34"/>
        <v>2.135171694472748E-2</v>
      </c>
      <c r="I95" s="54" t="str">
        <f t="shared" si="35"/>
        <v>6.76532769556027-0.0715914457702738i</v>
      </c>
      <c r="J95" s="78" t="str">
        <f t="shared" si="36"/>
        <v>0.013368568567408-0.114847071977768i</v>
      </c>
      <c r="K95" s="78" t="str">
        <f t="shared" si="37"/>
        <v>0.0822206792537107-0.777935151956817i</v>
      </c>
      <c r="L95" s="78" t="str">
        <f t="shared" si="38"/>
        <v>-0.0103833002438801+0.0130831756473553i</v>
      </c>
      <c r="M95" s="73">
        <f t="shared" si="39"/>
        <v>-35.544231799748857</v>
      </c>
      <c r="N95" s="73">
        <f t="shared" si="40"/>
        <v>308.43683801698739</v>
      </c>
      <c r="O95" s="73">
        <f t="shared" si="28"/>
        <v>-51.563161983012606</v>
      </c>
    </row>
    <row r="96" spans="1:18" ht="15" x14ac:dyDescent="0.2">
      <c r="A96" s="74">
        <f t="shared" si="41"/>
        <v>95</v>
      </c>
      <c r="B96" s="73">
        <f t="shared" si="42"/>
        <v>47500</v>
      </c>
      <c r="C96" s="73">
        <f t="shared" si="29"/>
        <v>299.66310559006206</v>
      </c>
      <c r="D96" s="54" t="str">
        <f t="shared" si="30"/>
        <v>0.000224247946224352-0.0000161548949117503i</v>
      </c>
      <c r="E96" s="54" t="str">
        <f t="shared" si="31"/>
        <v>-0.250429376037459-0.18230490975907i</v>
      </c>
      <c r="F96" s="73" t="str">
        <f t="shared" si="32"/>
        <v>-0.0000591033899097-0.0000368358413473869i</v>
      </c>
      <c r="G96" s="73" t="str">
        <f t="shared" si="33"/>
        <v>-0.017711105371241-0.0110383426151808i</v>
      </c>
      <c r="H96" s="76">
        <f t="shared" si="34"/>
        <v>2.0869313864171918E-2</v>
      </c>
      <c r="I96" s="54" t="str">
        <f t="shared" si="35"/>
        <v>6.76532769556027-0.0708378516042709i</v>
      </c>
      <c r="J96" s="78" t="str">
        <f t="shared" si="36"/>
        <v>0.0130922716425048-0.113669978735564i</v>
      </c>
      <c r="K96" s="78" t="str">
        <f t="shared" si="37"/>
        <v>0.0805213708553056-0.769942083689233i</v>
      </c>
      <c r="L96" s="78" t="str">
        <f t="shared" si="38"/>
        <v>-0.00992500699746305+0.012747702894628i</v>
      </c>
      <c r="M96" s="73">
        <f t="shared" si="39"/>
        <v>-35.833433641803303</v>
      </c>
      <c r="N96" s="73">
        <f t="shared" si="40"/>
        <v>307.90333309970742</v>
      </c>
      <c r="O96" s="73">
        <f t="shared" si="28"/>
        <v>-52.096666900292576</v>
      </c>
    </row>
    <row r="97" spans="1:18" ht="15" x14ac:dyDescent="0.2">
      <c r="A97" s="74">
        <f t="shared" si="41"/>
        <v>96</v>
      </c>
      <c r="B97" s="73">
        <f t="shared" si="42"/>
        <v>48000</v>
      </c>
      <c r="C97" s="73">
        <f t="shared" si="29"/>
        <v>299.66310559006206</v>
      </c>
      <c r="D97" s="54" t="str">
        <f t="shared" si="30"/>
        <v>0.00022424794081436-0.0000159866147565061i</v>
      </c>
      <c r="E97" s="54" t="str">
        <f t="shared" si="31"/>
        <v>-0.246387625758944-0.176095980292277i</v>
      </c>
      <c r="F97" s="73" t="str">
        <f t="shared" si="32"/>
        <v>-0.0000580670963156843-0.0000355502569124508i</v>
      </c>
      <c r="G97" s="73" t="str">
        <f t="shared" si="33"/>
        <v>-0.0174005664145552-0.0106531003909096i</v>
      </c>
      <c r="H97" s="76">
        <f t="shared" si="34"/>
        <v>2.0402653246236007E-2</v>
      </c>
      <c r="I97" s="54" t="str">
        <f t="shared" si="35"/>
        <v>6.76532769556027-0.0700999573167264i</v>
      </c>
      <c r="J97" s="78" t="str">
        <f t="shared" si="36"/>
        <v>0.0128244162994031-0.112516446113369i</v>
      </c>
      <c r="K97" s="78" t="str">
        <f t="shared" si="37"/>
        <v>0.0788739806997694-0.76210962013199i</v>
      </c>
      <c r="L97" s="78" t="str">
        <f t="shared" si="38"/>
        <v>-0.00949128223169075+0.0124208866256528i</v>
      </c>
      <c r="M97" s="73">
        <f t="shared" si="39"/>
        <v>-36.119647952918534</v>
      </c>
      <c r="N97" s="73">
        <f t="shared" si="40"/>
        <v>307.38485120831587</v>
      </c>
      <c r="O97" s="73">
        <f t="shared" si="28"/>
        <v>-52.615148791684135</v>
      </c>
    </row>
    <row r="98" spans="1:18" ht="15" x14ac:dyDescent="0.2">
      <c r="A98" s="74">
        <f t="shared" si="41"/>
        <v>97</v>
      </c>
      <c r="B98" s="73">
        <f t="shared" si="42"/>
        <v>48500</v>
      </c>
      <c r="C98" s="73">
        <f t="shared" si="29"/>
        <v>299.66310559006206</v>
      </c>
      <c r="D98" s="54" t="str">
        <f t="shared" si="30"/>
        <v>0.000224247935570825-0.0000158218042951818i</v>
      </c>
      <c r="E98" s="54" t="str">
        <f t="shared" si="31"/>
        <v>-0.242397983147737-0.170159244212842i</v>
      </c>
      <c r="F98" s="73" t="str">
        <f>IMPRODUCT(D98,E98)</f>
        <v>-0.0000570494735683633-0.0000343226857821114i</v>
      </c>
      <c r="G98" s="73" t="str">
        <f>IMPRODUCT(C98,F98)</f>
        <v>-0.0170956224217739-0.0102852426136594i</v>
      </c>
      <c r="H98" s="76">
        <f>IMABS(G98)</f>
        <v>1.9951103267982294E-2</v>
      </c>
      <c r="I98" s="54" t="str">
        <f t="shared" si="35"/>
        <v>6.76532769556027-0.069377277344389i</v>
      </c>
      <c r="J98" s="78" t="str">
        <f t="shared" si="36"/>
        <v>0.0125646635741558-0.111385783668402i</v>
      </c>
      <c r="K98" s="78" t="str">
        <f>IMPRODUCT(I98,J98)</f>
        <v>0.0772764240578487-0.754433029293048i</v>
      </c>
      <c r="L98" s="78" t="str">
        <f>IMPRODUCT(G98,K98)</f>
        <v>-0.00908061530983487+0.012102695441558i</v>
      </c>
      <c r="M98" s="73">
        <f>20*LOG(IMABS(L98))</f>
        <v>-36.402919584404366</v>
      </c>
      <c r="N98" s="73">
        <f t="shared" si="40"/>
        <v>306.88078453710432</v>
      </c>
      <c r="O98" s="73">
        <f t="shared" si="28"/>
        <v>-53.119215462895681</v>
      </c>
    </row>
    <row r="99" spans="1:18" ht="15" x14ac:dyDescent="0.2">
      <c r="A99" s="74">
        <f t="shared" si="41"/>
        <v>98</v>
      </c>
      <c r="B99" s="73">
        <f t="shared" si="42"/>
        <v>49000</v>
      </c>
      <c r="C99" s="73">
        <f t="shared" si="29"/>
        <v>299.66310559006206</v>
      </c>
      <c r="D99" s="54" t="str">
        <f t="shared" si="30"/>
        <v>0.000224247930486985-0.0000156603573126575i</v>
      </c>
      <c r="E99" s="54" t="str">
        <f t="shared" si="31"/>
        <v>-0.238463470296582-0.164480715716955i</v>
      </c>
      <c r="F99" s="73" t="str">
        <f>IMPRODUCT(D99,E99)</f>
        <v>-0.0000560507664899223-0.0000331500369536845i</v>
      </c>
      <c r="G99" s="73" t="str">
        <f>IMPRODUCT(C99,F99)</f>
        <v>-0.0167963467570735-0.00993384302396642i</v>
      </c>
      <c r="H99" s="76">
        <f>IMABS(G99)</f>
        <v>1.9514059075667979E-2</v>
      </c>
      <c r="I99" s="54" t="str">
        <f t="shared" si="35"/>
        <v>6.76532769556027-0.0686693459429157i</v>
      </c>
      <c r="J99" s="78" t="str">
        <f t="shared" si="36"/>
        <v>0.0123126912754922-0.110277327266518i</v>
      </c>
      <c r="K99" s="78" t="str">
        <f>IMPRODUCT(I99,J99)</f>
        <v>0.075726719357246-0.746907760805223i</v>
      </c>
      <c r="L99" s="78" t="str">
        <f>IMPRODUCT(G99,K99)</f>
        <v>-0.00869159668632124+0.011793064403219i</v>
      </c>
      <c r="M99" s="73">
        <f>20*LOG(IMABS(L99))</f>
        <v>-36.683293623111595</v>
      </c>
      <c r="N99" s="73">
        <f t="shared" si="40"/>
        <v>306.39055539226547</v>
      </c>
      <c r="O99" s="73">
        <f t="shared" si="28"/>
        <v>-53.609444607734531</v>
      </c>
    </row>
    <row r="100" spans="1:18" ht="15" x14ac:dyDescent="0.2">
      <c r="A100" s="74">
        <f t="shared" si="41"/>
        <v>99</v>
      </c>
      <c r="B100" s="73">
        <f>(fs*1000/2)*(A100/100)</f>
        <v>49500</v>
      </c>
      <c r="C100" s="73">
        <f t="shared" si="29"/>
        <v>299.66310559006206</v>
      </c>
      <c r="D100" s="54" t="str">
        <f t="shared" si="30"/>
        <v>0.000224247925556421-0.0000155021718853334i</v>
      </c>
      <c r="E100" s="54" t="str">
        <f t="shared" si="31"/>
        <v>-0.234586557851577-0.159047180025381i</v>
      </c>
      <c r="F100" s="73" t="str">
        <f>IMPRODUCT(D100,E100)</f>
        <v>-0.0000550711256842685-0.0000320293990444865i</v>
      </c>
      <c r="G100" s="73" t="str">
        <f>IMPRODUCT(C100,F100)</f>
        <v>-0.0165027845508885-0.00959802918785419i</v>
      </c>
      <c r="H100" s="76">
        <f>IMABS(G100)</f>
        <v>1.9090941889386839E-2</v>
      </c>
      <c r="I100" s="54" t="str">
        <f t="shared" si="35"/>
        <v>6.76532769556027-0.0679757161859165i</v>
      </c>
      <c r="J100" s="78" t="str">
        <f t="shared" si="36"/>
        <v>0.0120681930028531-0.109190437862017i</v>
      </c>
      <c r="K100" s="78" t="str">
        <f>IMPRODUCT(I100,J100)</f>
        <v>0.0742229821432443-0.739529437420695i</v>
      </c>
      <c r="L100" s="78" t="str">
        <f>IMPRODUCT(G100,K100)</f>
        <v>-0.00832291100867562+0.0114919006257731i</v>
      </c>
      <c r="M100" s="73">
        <f>20*LOG(IMABS(L100))</f>
        <v>-36.9608152414553</v>
      </c>
      <c r="N100" s="73">
        <f t="shared" si="40"/>
        <v>305.91361456443218</v>
      </c>
      <c r="O100" s="73">
        <f t="shared" si="28"/>
        <v>-54.08638543556782</v>
      </c>
    </row>
    <row r="101" spans="1:18" ht="15" x14ac:dyDescent="0.2">
      <c r="A101" s="74">
        <f>1+A100</f>
        <v>100</v>
      </c>
      <c r="B101" s="73">
        <f>(fs*1000/2)*(A101/100)</f>
        <v>50000</v>
      </c>
      <c r="C101" s="73">
        <f t="shared" si="29"/>
        <v>299.66310559006206</v>
      </c>
      <c r="D101" s="54" t="str">
        <f t="shared" si="30"/>
        <v>0.000224247920773033-0.0000153471501665535i</v>
      </c>
      <c r="E101" s="54" t="str">
        <f t="shared" si="31"/>
        <v>-0.230769230769231-0.153846153846154i</v>
      </c>
      <c r="F101" s="73" t="str">
        <f>IMPRODUCT(D101,E101)</f>
        <v>-0.0000541106202040159-0.0000309580300804928i</v>
      </c>
      <c r="G101" s="73" t="str">
        <f>IMPRODUCT(C101,F101)</f>
        <v>-0.0162149564957398-0.00927697943687103i</v>
      </c>
      <c r="H101" s="76">
        <f>IMABS(G101)</f>
        <v>1.8681198078037239E-2</v>
      </c>
      <c r="I101" s="54" t="str">
        <f t="shared" si="35"/>
        <v>6.76532769556024-0.0672959590240573i</v>
      </c>
      <c r="J101" s="78" t="str">
        <f t="shared" si="36"/>
        <v>0.0118308772305616-0.108124500343433i</v>
      </c>
      <c r="K101" s="78" t="str">
        <f>IMPRODUCT(I101,J101)</f>
        <v>0.0727634194460831-0.732293846971366i</v>
      </c>
      <c r="L101" s="78" t="str">
        <f>IMPRODUCT(G101,K101)</f>
        <v>-0.00797333064090005+0.0111990881247809i</v>
      </c>
      <c r="M101" s="73">
        <f>20*LOG(IMABS(L101))</f>
        <v>-37.235529567228319</v>
      </c>
      <c r="N101" s="73">
        <f t="shared" si="40"/>
        <v>305.44943978298687</v>
      </c>
      <c r="O101" s="73">
        <f t="shared" si="28"/>
        <v>-54.550560217013128</v>
      </c>
      <c r="P101" s="73">
        <v>-32.747</v>
      </c>
      <c r="Q101" s="73">
        <v>307.64999999999998</v>
      </c>
      <c r="R101" s="73">
        <f>B101</f>
        <v>50000</v>
      </c>
    </row>
  </sheetData>
  <phoneticPr fontId="21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workbookViewId="0">
      <selection activeCell="C34" sqref="C34"/>
    </sheetView>
  </sheetViews>
  <sheetFormatPr defaultRowHeight="12.75" x14ac:dyDescent="0.2"/>
  <cols>
    <col min="1" max="1" width="9.140625" style="13"/>
    <col min="2" max="2" width="19.28515625" style="13" bestFit="1" customWidth="1"/>
    <col min="3" max="3" width="12.42578125" style="13" bestFit="1" customWidth="1"/>
    <col min="4" max="4" width="7.7109375" style="13" customWidth="1"/>
    <col min="5" max="5" width="8.7109375" style="3" customWidth="1"/>
    <col min="6" max="8" width="8.7109375" style="5" customWidth="1"/>
    <col min="9" max="9" width="8.7109375" style="6" customWidth="1"/>
    <col min="10" max="11" width="9.140625" style="37"/>
    <col min="12" max="12" width="4.7109375" style="37" bestFit="1" customWidth="1"/>
    <col min="13" max="13" width="10.28515625" style="3" customWidth="1"/>
    <col min="14" max="14" width="9.140625" style="3"/>
    <col min="15" max="16384" width="9.140625" style="50"/>
  </cols>
  <sheetData>
    <row r="1" spans="1:14" ht="18.75" thickBot="1" x14ac:dyDescent="0.3">
      <c r="A1" s="48"/>
      <c r="B1" s="3"/>
      <c r="C1" s="3"/>
      <c r="D1" s="3"/>
      <c r="E1" s="4" t="s">
        <v>138</v>
      </c>
      <c r="J1" s="4" t="s">
        <v>139</v>
      </c>
      <c r="K1" s="7"/>
      <c r="L1" s="7"/>
      <c r="N1" s="7"/>
    </row>
    <row r="2" spans="1:14" ht="13.5" thickBot="1" x14ac:dyDescent="0.25">
      <c r="A2" s="3"/>
      <c r="B2" s="8" t="s">
        <v>140</v>
      </c>
      <c r="C2" s="9">
        <v>127</v>
      </c>
      <c r="D2" s="3"/>
      <c r="E2" s="115" t="s">
        <v>141</v>
      </c>
      <c r="F2" s="116"/>
      <c r="G2" s="117" t="s">
        <v>142</v>
      </c>
      <c r="H2" s="118"/>
      <c r="J2" s="10" t="s">
        <v>143</v>
      </c>
      <c r="K2" s="11">
        <v>1000</v>
      </c>
      <c r="L2" s="12" t="s">
        <v>62</v>
      </c>
      <c r="N2" s="22"/>
    </row>
    <row r="3" spans="1:14" ht="13.5" thickBot="1" x14ac:dyDescent="0.25">
      <c r="B3" s="3"/>
      <c r="C3" s="13" t="s">
        <v>19</v>
      </c>
      <c r="E3" s="14">
        <v>100</v>
      </c>
      <c r="F3" s="15">
        <v>150</v>
      </c>
      <c r="G3" s="16">
        <v>100</v>
      </c>
      <c r="H3" s="17">
        <v>102</v>
      </c>
      <c r="J3" s="10"/>
      <c r="K3" s="18">
        <f>IF(K2&lt;10000,sta*10^INT(LOG(K2)),stb*10^INT(LOG(K2)))</f>
        <v>1000</v>
      </c>
      <c r="L3" s="19" t="s">
        <v>62</v>
      </c>
      <c r="N3" s="26"/>
    </row>
    <row r="4" spans="1:14" ht="13.5" thickBot="1" x14ac:dyDescent="0.25">
      <c r="B4" s="20" t="s">
        <v>144</v>
      </c>
      <c r="C4" s="70">
        <f>(IF((10^(LOG(C2)-INT(LOG(C2)))*100)-VLOOKUP((10^(LOG(C2)-INT(LOG(C2)))*100),E6_s:E6_f,1)&lt;VLOOKUP((10^(LOG(C2)-INT(LOG(C2)))*100),E6_s:E6_f,2)-(10^(LOG(C2)-INT(LOG(C2)))*100),VLOOKUP((10^(LOG(C2)-INT(LOG(C2)))*100),E6_s:E6_f,1),VLOOKUP((10^(LOG(C2)-INT(LOG(C2)))*100),E6_s:E6_f,2)))*10^INT(LOG(C2))/100</f>
        <v>150</v>
      </c>
      <c r="E4" s="15">
        <v>150</v>
      </c>
      <c r="F4" s="14">
        <v>220</v>
      </c>
      <c r="G4" s="17">
        <v>102</v>
      </c>
      <c r="H4" s="16">
        <v>105</v>
      </c>
      <c r="J4" s="21"/>
      <c r="K4" s="22"/>
      <c r="L4" s="23"/>
      <c r="M4" s="5"/>
      <c r="N4" s="26"/>
    </row>
    <row r="5" spans="1:14" ht="13.5" thickBot="1" x14ac:dyDescent="0.25">
      <c r="B5" s="24" t="s">
        <v>145</v>
      </c>
      <c r="C5" s="69">
        <f>(IF((10^(LOG(C2)-INT(LOG(C2)))*100)-VLOOKUP((10^(LOG(C2)-INT(LOG(C2)))*100),E12_s:E12_f,1)&lt;VLOOKUP((10^(LOG(C2)-INT(LOG(C2)))*100),E12_s:E12_f,2)-(10^(LOG(C2)-INT(LOG(C2)))*100),VLOOKUP((10^(LOG(C2)-INT(LOG(C2)))*100),E12_s:E12_f,1),VLOOKUP((10^(LOG(C2)-INT(LOG(C2)))*100),E12_s:E12_f,2)))*10^INT(LOG(C2))/100</f>
        <v>120</v>
      </c>
      <c r="E5" s="14">
        <v>220</v>
      </c>
      <c r="F5" s="15">
        <v>330</v>
      </c>
      <c r="G5" s="16">
        <v>105</v>
      </c>
      <c r="H5" s="17">
        <v>107</v>
      </c>
      <c r="J5" s="25" t="s">
        <v>146</v>
      </c>
      <c r="K5" s="26"/>
      <c r="L5" s="5"/>
      <c r="N5" s="26"/>
    </row>
    <row r="6" spans="1:14" ht="13.5" thickBot="1" x14ac:dyDescent="0.25">
      <c r="B6" s="24" t="s">
        <v>147</v>
      </c>
      <c r="C6" s="69">
        <f>(IF((10^(LOG(C2)-INT(LOG(C2)))*100)-VLOOKUP((10^(LOG(C2)-INT(LOG(C2)))*100),E24_s:E24_f,1)&lt;VLOOKUP((10^(LOG(C2)-INT(LOG(C2)))*100),E24_s:E24_f,2)-(10^(LOG(C2)-INT(LOG(C2)))*100),VLOOKUP((10^(LOG(C2)-INT(LOG(C2)))*100),E24_s:E24_f,1),VLOOKUP((10^(LOG(C2)-INT(LOG(C2)))*100),E24_s:E24_f,2)))*10^INT(LOG(C2))/100</f>
        <v>130</v>
      </c>
      <c r="E6" s="15">
        <v>330</v>
      </c>
      <c r="F6" s="14">
        <v>470</v>
      </c>
      <c r="G6" s="17">
        <v>107</v>
      </c>
      <c r="H6" s="16">
        <v>110</v>
      </c>
      <c r="J6" s="26">
        <v>1</v>
      </c>
      <c r="K6" s="26">
        <v>1.2</v>
      </c>
      <c r="L6" s="27">
        <f>IF((10^(LOG(K2)-INT(LOG(K2))))-VLOOKUP((10^(LOG(K2)-INT(LOG(K2)))),c_s1:C_f1,1)&lt;VLOOKUP((10^(LOG(K2)-INT(LOG(K2)))),c_s1:C_f1,2)-(10^(LOG(K2)-INT(LOG(K2)))),VLOOKUP((10^(LOG(K2)-INT(LOG(K2)))),c_s1:C_f1,1),VLOOKUP((10^(LOG(K2)-INT(LOG(K2)))),c_s1:C_f1,2))</f>
        <v>1</v>
      </c>
      <c r="N6" s="26"/>
    </row>
    <row r="7" spans="1:14" ht="13.5" thickBot="1" x14ac:dyDescent="0.25">
      <c r="B7" s="24" t="s">
        <v>148</v>
      </c>
      <c r="C7" s="69">
        <f>(IF((10^(LOG(C2)-INT(LOG(C2)))*100)-VLOOKUP((10^(LOG(C2)-INT(LOG(C2)))*100),E48_s:E48_f,1)&lt;VLOOKUP((10^(LOG(C2)-INT(LOG(C2)))*100),E48_s:E48_f,2)-(10^(LOG(C2)-INT(LOG(C2)))*100),VLOOKUP((10^(LOG(C2)-INT(LOG(C2)))*100),E48_s:E48_f,1),VLOOKUP((10^(LOG(C2)-INT(LOG(C2)))*100),E48_s:E48_f,2)))*10^INT(LOG(C2))/100</f>
        <v>127</v>
      </c>
      <c r="D7" s="2"/>
      <c r="E7" s="14">
        <v>470</v>
      </c>
      <c r="F7" s="15">
        <v>680</v>
      </c>
      <c r="G7" s="16">
        <v>110</v>
      </c>
      <c r="H7" s="17">
        <v>113</v>
      </c>
      <c r="J7" s="26">
        <v>1.2</v>
      </c>
      <c r="K7" s="26">
        <v>1.5</v>
      </c>
      <c r="L7" s="28"/>
      <c r="N7" s="26"/>
    </row>
    <row r="8" spans="1:14" ht="13.5" thickBot="1" x14ac:dyDescent="0.25">
      <c r="B8" s="29" t="s">
        <v>149</v>
      </c>
      <c r="C8" s="71">
        <f>(IF((10^(LOG(C2)-INT(LOG(C2)))*100)-VLOOKUP((10^(LOG(C2)-INT(LOG(C2)))*100),E96_s:E96_f,1)&lt;VLOOKUP((10^(LOG(C2)-INT(LOG(C2)))*100),E96_s:E96_f,2)-(10^(LOG(C2)-INT(LOG(C2)))*100),VLOOKUP((10^(LOG(C2)-INT(LOG(C2)))*100),E96_s:E96_f,1),VLOOKUP((10^(LOG(C2)-INT(LOG(C2)))*100),E96_s:E96_f,2)))*10^INT(LOG(C2))/100</f>
        <v>127</v>
      </c>
      <c r="D8" s="5"/>
      <c r="E8" s="15">
        <v>680</v>
      </c>
      <c r="F8" s="15">
        <v>1000</v>
      </c>
      <c r="G8" s="17">
        <v>113</v>
      </c>
      <c r="H8" s="16">
        <v>115</v>
      </c>
      <c r="J8" s="26">
        <v>1.5</v>
      </c>
      <c r="K8" s="26">
        <v>1.8</v>
      </c>
      <c r="L8" s="28"/>
      <c r="N8" s="26"/>
    </row>
    <row r="9" spans="1:14" ht="13.5" thickBot="1" x14ac:dyDescent="0.25">
      <c r="B9" s="2"/>
      <c r="C9" s="2"/>
      <c r="D9" s="2"/>
      <c r="E9" s="119" t="s">
        <v>150</v>
      </c>
      <c r="F9" s="120"/>
      <c r="G9" s="16">
        <v>115</v>
      </c>
      <c r="H9" s="17">
        <v>118</v>
      </c>
      <c r="J9" s="26">
        <v>1.8</v>
      </c>
      <c r="K9" s="26">
        <v>2.2000000000000002</v>
      </c>
      <c r="L9" s="31"/>
      <c r="N9" s="26"/>
    </row>
    <row r="10" spans="1:14" ht="13.5" thickBot="1" x14ac:dyDescent="0.25">
      <c r="E10" s="32">
        <v>100</v>
      </c>
      <c r="F10" s="33">
        <v>120</v>
      </c>
      <c r="G10" s="17">
        <v>118</v>
      </c>
      <c r="H10" s="16">
        <v>121</v>
      </c>
      <c r="J10" s="26">
        <v>2.2000000000000002</v>
      </c>
      <c r="K10" s="26">
        <v>2.7</v>
      </c>
      <c r="L10" s="5"/>
      <c r="N10" s="26"/>
    </row>
    <row r="11" spans="1:14" ht="13.5" thickBot="1" x14ac:dyDescent="0.25">
      <c r="E11" s="33">
        <v>120</v>
      </c>
      <c r="F11" s="33">
        <v>150</v>
      </c>
      <c r="G11" s="16">
        <v>121</v>
      </c>
      <c r="H11" s="17">
        <v>124</v>
      </c>
      <c r="J11" s="26">
        <v>2.7</v>
      </c>
      <c r="K11" s="26">
        <v>3.3</v>
      </c>
      <c r="L11" s="5"/>
      <c r="N11" s="26"/>
    </row>
    <row r="12" spans="1:14" ht="13.5" thickBot="1" x14ac:dyDescent="0.25">
      <c r="C12" s="36"/>
      <c r="E12" s="33">
        <v>150</v>
      </c>
      <c r="F12" s="33">
        <v>180</v>
      </c>
      <c r="G12" s="17">
        <v>124</v>
      </c>
      <c r="H12" s="16">
        <v>127</v>
      </c>
      <c r="J12" s="26">
        <v>3.3</v>
      </c>
      <c r="K12" s="26">
        <v>3.9</v>
      </c>
      <c r="L12" s="5"/>
      <c r="N12" s="26"/>
    </row>
    <row r="13" spans="1:14" ht="13.5" thickBot="1" x14ac:dyDescent="0.25">
      <c r="A13" s="2"/>
      <c r="B13" s="2"/>
      <c r="C13" s="2"/>
      <c r="D13" s="2"/>
      <c r="E13" s="33">
        <v>180</v>
      </c>
      <c r="F13" s="32">
        <v>220</v>
      </c>
      <c r="G13" s="16">
        <v>127</v>
      </c>
      <c r="H13" s="17">
        <v>130</v>
      </c>
      <c r="J13" s="26">
        <v>3.9</v>
      </c>
      <c r="K13" s="26">
        <v>4.7</v>
      </c>
      <c r="L13" s="5"/>
      <c r="N13" s="26"/>
    </row>
    <row r="14" spans="1:14" ht="13.5" thickBot="1" x14ac:dyDescent="0.25">
      <c r="A14" s="2"/>
      <c r="B14" s="2"/>
      <c r="C14" s="2"/>
      <c r="D14" s="34"/>
      <c r="E14" s="32">
        <v>220</v>
      </c>
      <c r="F14" s="33">
        <v>270</v>
      </c>
      <c r="G14" s="17">
        <v>130</v>
      </c>
      <c r="H14" s="16">
        <v>133</v>
      </c>
      <c r="J14" s="26">
        <v>4.7</v>
      </c>
      <c r="K14" s="26">
        <v>5.6</v>
      </c>
      <c r="L14" s="5"/>
      <c r="N14" s="26"/>
    </row>
    <row r="15" spans="1:14" ht="13.5" thickBot="1" x14ac:dyDescent="0.25">
      <c r="A15" s="49"/>
      <c r="B15" s="35"/>
      <c r="C15" s="2"/>
      <c r="D15" s="36"/>
      <c r="E15" s="33">
        <v>270</v>
      </c>
      <c r="F15" s="33">
        <v>330</v>
      </c>
      <c r="G15" s="16">
        <v>133</v>
      </c>
      <c r="H15" s="17">
        <v>137</v>
      </c>
      <c r="J15" s="26">
        <v>5.6</v>
      </c>
      <c r="K15" s="26">
        <v>6.8</v>
      </c>
      <c r="L15" s="5"/>
      <c r="N15" s="26"/>
    </row>
    <row r="16" spans="1:14" ht="13.5" thickBot="1" x14ac:dyDescent="0.25">
      <c r="A16" s="49"/>
      <c r="B16" s="35"/>
      <c r="C16" s="2"/>
      <c r="D16" s="36"/>
      <c r="E16" s="33">
        <v>330</v>
      </c>
      <c r="F16" s="33">
        <v>390</v>
      </c>
      <c r="G16" s="17">
        <v>137</v>
      </c>
      <c r="H16" s="16">
        <v>140</v>
      </c>
      <c r="J16" s="26">
        <v>6.8</v>
      </c>
      <c r="K16" s="26">
        <v>8.1999999999999993</v>
      </c>
      <c r="L16" s="5"/>
      <c r="N16" s="26"/>
    </row>
    <row r="17" spans="1:14" ht="13.5" thickBot="1" x14ac:dyDescent="0.25">
      <c r="A17" s="49"/>
      <c r="B17" s="35"/>
      <c r="C17" s="2"/>
      <c r="D17" s="36"/>
      <c r="E17" s="33">
        <v>390</v>
      </c>
      <c r="F17" s="32">
        <v>470</v>
      </c>
      <c r="G17" s="16">
        <v>140</v>
      </c>
      <c r="H17" s="17">
        <v>143</v>
      </c>
      <c r="J17" s="26">
        <v>8.1999999999999993</v>
      </c>
      <c r="K17" s="26">
        <v>10</v>
      </c>
      <c r="L17" s="5"/>
      <c r="N17" s="26"/>
    </row>
    <row r="18" spans="1:14" ht="13.5" thickBot="1" x14ac:dyDescent="0.25">
      <c r="A18" s="49"/>
      <c r="B18" s="35"/>
      <c r="C18" s="2"/>
      <c r="D18" s="36"/>
      <c r="E18" s="32">
        <v>470</v>
      </c>
      <c r="F18" s="33">
        <v>560</v>
      </c>
      <c r="G18" s="17">
        <v>143</v>
      </c>
      <c r="H18" s="16">
        <v>147</v>
      </c>
      <c r="J18" s="25" t="s">
        <v>151</v>
      </c>
      <c r="K18" s="26"/>
      <c r="L18" s="26"/>
      <c r="N18" s="26"/>
    </row>
    <row r="19" spans="1:14" ht="13.5" thickBot="1" x14ac:dyDescent="0.25">
      <c r="A19" s="49"/>
      <c r="B19" s="35"/>
      <c r="C19" s="2"/>
      <c r="D19" s="36"/>
      <c r="E19" s="33">
        <v>560</v>
      </c>
      <c r="F19" s="33">
        <v>680</v>
      </c>
      <c r="G19" s="16">
        <v>147</v>
      </c>
      <c r="H19" s="17">
        <v>150</v>
      </c>
      <c r="J19" s="26">
        <v>1</v>
      </c>
      <c r="K19" s="26">
        <v>1.5</v>
      </c>
      <c r="L19" s="27">
        <f>IF((10^(LOG(K2)-INT(LOG(K2))))-VLOOKUP((10^(LOG(K2)-INT(LOG(K2)))),C_s2:C_f2,1)&lt;VLOOKUP((10^(LOG(K2)-INT(LOG(K2)))),C_s2:C_f2,2)-(10^(LOG(K2)-INT(LOG(K2)))),VLOOKUP((10^(LOG(K2)-INT(LOG(K2)))),C_s2:C_f2,1),VLOOKUP((10^(LOG(K2)-INT(LOG(K2)))),C_s2:C_f2,2))</f>
        <v>1</v>
      </c>
      <c r="N19" s="26"/>
    </row>
    <row r="20" spans="1:14" ht="13.5" thickBot="1" x14ac:dyDescent="0.25">
      <c r="A20" s="49"/>
      <c r="B20" s="35"/>
      <c r="C20" s="2"/>
      <c r="D20" s="36"/>
      <c r="E20" s="30">
        <v>680</v>
      </c>
      <c r="F20" s="33">
        <v>820</v>
      </c>
      <c r="G20" s="17">
        <v>150</v>
      </c>
      <c r="H20" s="16">
        <v>154</v>
      </c>
      <c r="J20" s="26">
        <v>1.5</v>
      </c>
      <c r="K20" s="26">
        <v>2.2000000000000002</v>
      </c>
      <c r="N20" s="26"/>
    </row>
    <row r="21" spans="1:14" ht="13.5" thickBot="1" x14ac:dyDescent="0.25">
      <c r="A21" s="49"/>
      <c r="B21" s="35"/>
      <c r="C21" s="2"/>
      <c r="D21" s="36"/>
      <c r="E21" s="30">
        <v>820</v>
      </c>
      <c r="F21" s="33">
        <v>1000</v>
      </c>
      <c r="G21" s="16">
        <v>154</v>
      </c>
      <c r="H21" s="17">
        <v>158</v>
      </c>
      <c r="J21" s="26">
        <v>2.2000000000000002</v>
      </c>
      <c r="K21" s="26">
        <v>3.3</v>
      </c>
      <c r="L21" s="27"/>
      <c r="N21" s="26"/>
    </row>
    <row r="22" spans="1:14" ht="13.5" thickBot="1" x14ac:dyDescent="0.25">
      <c r="A22" s="49"/>
      <c r="B22" s="35"/>
      <c r="C22" s="2"/>
      <c r="D22" s="36"/>
      <c r="E22" s="121" t="s">
        <v>152</v>
      </c>
      <c r="F22" s="122"/>
      <c r="G22" s="17">
        <v>158</v>
      </c>
      <c r="H22" s="16">
        <v>162</v>
      </c>
      <c r="J22" s="26">
        <v>3.3</v>
      </c>
      <c r="K22" s="26">
        <v>4.7</v>
      </c>
      <c r="L22" s="27"/>
      <c r="N22" s="26"/>
    </row>
    <row r="23" spans="1:14" ht="13.5" thickBot="1" x14ac:dyDescent="0.25">
      <c r="A23" s="49"/>
      <c r="B23" s="35"/>
      <c r="C23" s="2"/>
      <c r="D23" s="36"/>
      <c r="E23" s="38">
        <v>100</v>
      </c>
      <c r="F23" s="39">
        <v>110</v>
      </c>
      <c r="G23" s="16">
        <v>162</v>
      </c>
      <c r="H23" s="17">
        <v>165</v>
      </c>
      <c r="J23" s="26">
        <v>4.7</v>
      </c>
      <c r="K23" s="26">
        <v>6.8</v>
      </c>
      <c r="L23" s="5"/>
    </row>
    <row r="24" spans="1:14" ht="13.5" thickBot="1" x14ac:dyDescent="0.25">
      <c r="A24" s="49"/>
      <c r="B24" s="35"/>
      <c r="C24" s="2"/>
      <c r="D24" s="36"/>
      <c r="E24" s="39">
        <v>110</v>
      </c>
      <c r="F24" s="39">
        <v>120</v>
      </c>
      <c r="G24" s="17">
        <v>165</v>
      </c>
      <c r="H24" s="16">
        <v>169</v>
      </c>
      <c r="J24" s="26">
        <v>6.8</v>
      </c>
      <c r="K24" s="26">
        <v>10</v>
      </c>
      <c r="L24" s="5"/>
    </row>
    <row r="25" spans="1:14" ht="13.5" thickBot="1" x14ac:dyDescent="0.25">
      <c r="A25" s="49"/>
      <c r="B25" s="35"/>
      <c r="C25" s="2"/>
      <c r="D25" s="36"/>
      <c r="E25" s="39">
        <v>120</v>
      </c>
      <c r="F25" s="39">
        <v>130</v>
      </c>
      <c r="G25" s="16">
        <v>169</v>
      </c>
      <c r="H25" s="17">
        <v>174</v>
      </c>
      <c r="J25" s="40"/>
      <c r="K25" s="40"/>
      <c r="L25" s="40"/>
    </row>
    <row r="26" spans="1:14" ht="13.5" thickBot="1" x14ac:dyDescent="0.25">
      <c r="A26" s="49"/>
      <c r="B26" s="35"/>
      <c r="C26" s="2"/>
      <c r="D26" s="36"/>
      <c r="E26" s="39">
        <v>130</v>
      </c>
      <c r="F26" s="39">
        <v>150</v>
      </c>
      <c r="G26" s="17">
        <v>174</v>
      </c>
      <c r="H26" s="16">
        <v>178</v>
      </c>
      <c r="J26" s="40"/>
      <c r="K26" s="40"/>
      <c r="L26" s="40"/>
    </row>
    <row r="27" spans="1:14" ht="13.5" thickBot="1" x14ac:dyDescent="0.25">
      <c r="A27" s="49"/>
      <c r="B27" s="35"/>
      <c r="C27" s="2"/>
      <c r="D27" s="36"/>
      <c r="E27" s="39">
        <v>150</v>
      </c>
      <c r="F27" s="39">
        <v>160</v>
      </c>
      <c r="G27" s="16">
        <v>178</v>
      </c>
      <c r="H27" s="17">
        <v>182</v>
      </c>
      <c r="I27" s="41"/>
      <c r="J27" s="40"/>
      <c r="K27" s="40"/>
      <c r="L27" s="40"/>
    </row>
    <row r="28" spans="1:14" ht="13.5" thickBot="1" x14ac:dyDescent="0.25">
      <c r="A28" s="49"/>
      <c r="B28" s="35"/>
      <c r="C28" s="2"/>
      <c r="D28" s="36"/>
      <c r="E28" s="39">
        <v>160</v>
      </c>
      <c r="F28" s="39">
        <v>180</v>
      </c>
      <c r="G28" s="17">
        <v>182</v>
      </c>
      <c r="H28" s="16">
        <v>187</v>
      </c>
      <c r="I28" s="41"/>
      <c r="J28" s="40"/>
      <c r="K28" s="40"/>
      <c r="L28" s="40"/>
    </row>
    <row r="29" spans="1:14" ht="13.5" thickBot="1" x14ac:dyDescent="0.25">
      <c r="A29" s="49"/>
      <c r="B29" s="35"/>
      <c r="C29" s="2"/>
      <c r="D29" s="36"/>
      <c r="E29" s="39">
        <v>180</v>
      </c>
      <c r="F29" s="42">
        <v>200</v>
      </c>
      <c r="G29" s="16">
        <v>187</v>
      </c>
      <c r="H29" s="17">
        <v>191</v>
      </c>
      <c r="I29" s="41"/>
      <c r="J29" s="40"/>
      <c r="K29" s="40"/>
      <c r="L29" s="40"/>
    </row>
    <row r="30" spans="1:14" ht="13.5" thickBot="1" x14ac:dyDescent="0.25">
      <c r="A30" s="49"/>
      <c r="B30" s="35"/>
      <c r="C30" s="2"/>
      <c r="D30" s="36"/>
      <c r="E30" s="42">
        <v>200</v>
      </c>
      <c r="F30" s="38">
        <v>220</v>
      </c>
      <c r="G30" s="17">
        <v>191</v>
      </c>
      <c r="H30" s="16">
        <v>196</v>
      </c>
      <c r="I30" s="41"/>
      <c r="J30" s="40"/>
      <c r="K30" s="40"/>
      <c r="L30" s="40"/>
    </row>
    <row r="31" spans="1:14" ht="13.5" thickBot="1" x14ac:dyDescent="0.25">
      <c r="A31" s="49"/>
      <c r="B31" s="35"/>
      <c r="C31" s="2"/>
      <c r="D31" s="36"/>
      <c r="E31" s="38">
        <v>220</v>
      </c>
      <c r="F31" s="39">
        <v>240</v>
      </c>
      <c r="G31" s="16">
        <v>196</v>
      </c>
      <c r="H31" s="17">
        <v>200</v>
      </c>
      <c r="I31" s="41"/>
      <c r="J31" s="40"/>
      <c r="K31" s="40"/>
      <c r="L31" s="40"/>
      <c r="N31" s="45"/>
    </row>
    <row r="32" spans="1:14" ht="13.5" thickBot="1" x14ac:dyDescent="0.25">
      <c r="A32" s="49"/>
      <c r="B32" s="35"/>
      <c r="C32" s="2"/>
      <c r="D32" s="36"/>
      <c r="E32" s="39">
        <v>240</v>
      </c>
      <c r="F32" s="39">
        <v>270</v>
      </c>
      <c r="G32" s="17">
        <v>200</v>
      </c>
      <c r="H32" s="16">
        <v>205</v>
      </c>
      <c r="I32" s="41"/>
      <c r="J32" s="40"/>
      <c r="K32" s="40"/>
      <c r="L32" s="40"/>
      <c r="N32" s="45"/>
    </row>
    <row r="33" spans="1:14" s="45" customFormat="1" ht="13.5" thickBot="1" x14ac:dyDescent="0.25">
      <c r="A33" s="49"/>
      <c r="B33" s="35"/>
      <c r="C33" s="2"/>
      <c r="D33" s="36"/>
      <c r="E33" s="39">
        <v>270</v>
      </c>
      <c r="F33" s="39">
        <v>300</v>
      </c>
      <c r="G33" s="16">
        <v>205</v>
      </c>
      <c r="H33" s="17">
        <v>210</v>
      </c>
      <c r="I33" s="43"/>
      <c r="J33" s="40"/>
      <c r="K33" s="40"/>
      <c r="L33" s="40"/>
    </row>
    <row r="34" spans="1:14" s="45" customFormat="1" ht="13.5" thickBot="1" x14ac:dyDescent="0.25">
      <c r="A34" s="44"/>
      <c r="B34" s="44"/>
      <c r="C34" s="44"/>
      <c r="D34" s="44"/>
      <c r="E34" s="39">
        <v>300</v>
      </c>
      <c r="F34" s="39">
        <v>330</v>
      </c>
      <c r="G34" s="17">
        <v>210</v>
      </c>
      <c r="H34" s="16">
        <v>215</v>
      </c>
      <c r="I34" s="6"/>
      <c r="J34" s="40"/>
      <c r="K34" s="40"/>
      <c r="L34" s="40"/>
    </row>
    <row r="35" spans="1:14" s="45" customFormat="1" ht="13.5" thickBot="1" x14ac:dyDescent="0.25">
      <c r="E35" s="39">
        <v>330</v>
      </c>
      <c r="F35" s="39">
        <v>360</v>
      </c>
      <c r="G35" s="16">
        <v>215</v>
      </c>
      <c r="H35" s="17">
        <v>221</v>
      </c>
      <c r="I35" s="6"/>
      <c r="J35" s="40"/>
      <c r="K35" s="40"/>
      <c r="L35" s="40"/>
    </row>
    <row r="36" spans="1:14" s="45" customFormat="1" ht="13.5" thickBot="1" x14ac:dyDescent="0.25">
      <c r="E36" s="39">
        <v>360</v>
      </c>
      <c r="F36" s="39">
        <v>390</v>
      </c>
      <c r="G36" s="17">
        <v>221</v>
      </c>
      <c r="H36" s="16">
        <v>226</v>
      </c>
      <c r="I36" s="6"/>
      <c r="J36" s="40"/>
      <c r="K36" s="40"/>
      <c r="L36" s="40"/>
      <c r="N36" s="3"/>
    </row>
    <row r="37" spans="1:14" s="45" customFormat="1" ht="13.5" thickBot="1" x14ac:dyDescent="0.25">
      <c r="E37" s="39">
        <v>390</v>
      </c>
      <c r="F37" s="42">
        <v>430</v>
      </c>
      <c r="G37" s="16">
        <v>226</v>
      </c>
      <c r="H37" s="17">
        <v>232</v>
      </c>
      <c r="I37" s="41"/>
      <c r="J37" s="40"/>
      <c r="K37" s="40"/>
      <c r="L37" s="40"/>
      <c r="N37" s="3"/>
    </row>
    <row r="38" spans="1:14" ht="13.5" thickBot="1" x14ac:dyDescent="0.25">
      <c r="E38" s="42">
        <v>430</v>
      </c>
      <c r="F38" s="38">
        <v>470</v>
      </c>
      <c r="G38" s="17">
        <v>232</v>
      </c>
      <c r="H38" s="16">
        <v>237</v>
      </c>
      <c r="I38" s="41"/>
      <c r="J38" s="40"/>
      <c r="K38" s="40"/>
      <c r="L38" s="40"/>
    </row>
    <row r="39" spans="1:14" ht="13.5" thickBot="1" x14ac:dyDescent="0.25">
      <c r="E39" s="38">
        <v>470</v>
      </c>
      <c r="F39" s="39">
        <v>510</v>
      </c>
      <c r="G39" s="16">
        <v>237</v>
      </c>
      <c r="H39" s="17">
        <v>243</v>
      </c>
      <c r="I39" s="41"/>
      <c r="J39" s="40"/>
      <c r="K39" s="40"/>
      <c r="L39" s="40"/>
    </row>
    <row r="40" spans="1:14" ht="13.5" thickBot="1" x14ac:dyDescent="0.25">
      <c r="E40" s="39">
        <v>510</v>
      </c>
      <c r="F40" s="39">
        <v>560</v>
      </c>
      <c r="G40" s="17">
        <v>243</v>
      </c>
      <c r="H40" s="16">
        <v>249</v>
      </c>
      <c r="I40" s="41"/>
      <c r="J40" s="40"/>
      <c r="K40" s="40"/>
      <c r="L40" s="40"/>
    </row>
    <row r="41" spans="1:14" ht="13.5" thickBot="1" x14ac:dyDescent="0.25">
      <c r="E41" s="39">
        <v>560</v>
      </c>
      <c r="F41" s="39">
        <v>620</v>
      </c>
      <c r="G41" s="16">
        <v>249</v>
      </c>
      <c r="H41" s="17">
        <v>255</v>
      </c>
      <c r="I41" s="41"/>
      <c r="J41" s="40"/>
      <c r="K41" s="40"/>
      <c r="L41" s="40"/>
    </row>
    <row r="42" spans="1:14" ht="13.5" thickBot="1" x14ac:dyDescent="0.25">
      <c r="E42" s="39">
        <v>620</v>
      </c>
      <c r="F42" s="39">
        <v>680</v>
      </c>
      <c r="G42" s="17">
        <v>255</v>
      </c>
      <c r="H42" s="16">
        <v>261</v>
      </c>
      <c r="I42" s="41"/>
      <c r="J42" s="40"/>
      <c r="K42" s="40"/>
      <c r="L42" s="40"/>
    </row>
    <row r="43" spans="1:14" ht="13.5" thickBot="1" x14ac:dyDescent="0.25">
      <c r="E43" s="39">
        <v>680</v>
      </c>
      <c r="F43" s="39">
        <v>750</v>
      </c>
      <c r="G43" s="16">
        <v>261</v>
      </c>
      <c r="H43" s="17">
        <v>267</v>
      </c>
      <c r="I43" s="41"/>
      <c r="J43" s="40"/>
      <c r="K43" s="40"/>
      <c r="L43" s="40"/>
    </row>
    <row r="44" spans="1:14" ht="13.5" thickBot="1" x14ac:dyDescent="0.25">
      <c r="E44" s="39">
        <v>750</v>
      </c>
      <c r="F44" s="39">
        <v>820</v>
      </c>
      <c r="G44" s="17">
        <v>267</v>
      </c>
      <c r="H44" s="16">
        <v>274</v>
      </c>
      <c r="J44" s="40"/>
      <c r="K44" s="40"/>
      <c r="L44" s="40"/>
    </row>
    <row r="45" spans="1:14" ht="13.5" thickBot="1" x14ac:dyDescent="0.25">
      <c r="E45" s="39">
        <v>820</v>
      </c>
      <c r="F45" s="42">
        <v>910</v>
      </c>
      <c r="G45" s="16">
        <v>274</v>
      </c>
      <c r="H45" s="17">
        <v>280</v>
      </c>
      <c r="J45" s="40"/>
      <c r="K45" s="40"/>
      <c r="L45" s="40"/>
    </row>
    <row r="46" spans="1:14" ht="13.5" thickBot="1" x14ac:dyDescent="0.25">
      <c r="E46" s="42">
        <v>910</v>
      </c>
      <c r="F46" s="42">
        <v>1000</v>
      </c>
      <c r="G46" s="17">
        <v>280</v>
      </c>
      <c r="H46" s="16">
        <v>287</v>
      </c>
      <c r="J46" s="40"/>
      <c r="K46" s="40"/>
      <c r="L46" s="40"/>
    </row>
    <row r="47" spans="1:14" ht="13.5" thickBot="1" x14ac:dyDescent="0.25">
      <c r="E47" s="114" t="s">
        <v>153</v>
      </c>
      <c r="F47" s="114"/>
      <c r="G47" s="16">
        <v>287</v>
      </c>
      <c r="H47" s="17">
        <v>294</v>
      </c>
      <c r="J47" s="40"/>
      <c r="K47" s="40"/>
      <c r="L47" s="40"/>
    </row>
    <row r="48" spans="1:14" ht="13.5" thickBot="1" x14ac:dyDescent="0.25">
      <c r="E48" s="46">
        <v>100</v>
      </c>
      <c r="F48" s="46">
        <v>105</v>
      </c>
      <c r="G48" s="17">
        <v>294</v>
      </c>
      <c r="H48" s="16">
        <v>301</v>
      </c>
      <c r="J48" s="40"/>
      <c r="K48" s="40"/>
      <c r="L48" s="40"/>
    </row>
    <row r="49" spans="5:12" ht="13.5" thickBot="1" x14ac:dyDescent="0.25">
      <c r="E49" s="46">
        <v>105</v>
      </c>
      <c r="F49" s="46">
        <v>110</v>
      </c>
      <c r="G49" s="16">
        <v>301</v>
      </c>
      <c r="H49" s="17">
        <v>309</v>
      </c>
      <c r="J49" s="40"/>
      <c r="K49" s="40"/>
      <c r="L49" s="40"/>
    </row>
    <row r="50" spans="5:12" ht="13.5" thickBot="1" x14ac:dyDescent="0.25">
      <c r="E50" s="46">
        <v>110</v>
      </c>
      <c r="F50" s="46">
        <v>115</v>
      </c>
      <c r="G50" s="17">
        <v>309</v>
      </c>
      <c r="H50" s="16">
        <v>316</v>
      </c>
      <c r="J50" s="40"/>
      <c r="K50" s="40"/>
      <c r="L50" s="40"/>
    </row>
    <row r="51" spans="5:12" ht="13.5" thickBot="1" x14ac:dyDescent="0.25">
      <c r="E51" s="46">
        <v>115</v>
      </c>
      <c r="F51" s="46">
        <v>121</v>
      </c>
      <c r="G51" s="16">
        <v>316</v>
      </c>
      <c r="H51" s="17">
        <v>324</v>
      </c>
      <c r="J51" s="40"/>
      <c r="K51" s="40"/>
      <c r="L51" s="40"/>
    </row>
    <row r="52" spans="5:12" ht="13.5" thickBot="1" x14ac:dyDescent="0.25">
      <c r="E52" s="46">
        <v>121</v>
      </c>
      <c r="F52" s="46">
        <v>127</v>
      </c>
      <c r="G52" s="17">
        <v>324</v>
      </c>
      <c r="H52" s="16">
        <v>332</v>
      </c>
      <c r="J52" s="40"/>
      <c r="K52" s="40"/>
      <c r="L52" s="40"/>
    </row>
    <row r="53" spans="5:12" ht="13.5" thickBot="1" x14ac:dyDescent="0.25">
      <c r="E53" s="46">
        <v>127</v>
      </c>
      <c r="F53" s="46">
        <v>133</v>
      </c>
      <c r="G53" s="16">
        <v>332</v>
      </c>
      <c r="H53" s="17">
        <v>340</v>
      </c>
      <c r="J53" s="40"/>
      <c r="K53" s="40"/>
      <c r="L53" s="40"/>
    </row>
    <row r="54" spans="5:12" ht="13.5" thickBot="1" x14ac:dyDescent="0.25">
      <c r="E54" s="46">
        <v>133</v>
      </c>
      <c r="F54" s="46">
        <v>140</v>
      </c>
      <c r="G54" s="17">
        <v>340</v>
      </c>
      <c r="H54" s="16">
        <v>348</v>
      </c>
      <c r="J54" s="40"/>
      <c r="K54" s="40"/>
      <c r="L54" s="40"/>
    </row>
    <row r="55" spans="5:12" ht="13.5" thickBot="1" x14ac:dyDescent="0.25">
      <c r="E55" s="46">
        <v>140</v>
      </c>
      <c r="F55" s="46">
        <v>147</v>
      </c>
      <c r="G55" s="16">
        <v>348</v>
      </c>
      <c r="H55" s="17">
        <v>357</v>
      </c>
      <c r="J55" s="40"/>
      <c r="K55" s="40"/>
      <c r="L55" s="40"/>
    </row>
    <row r="56" spans="5:12" ht="13.5" thickBot="1" x14ac:dyDescent="0.25">
      <c r="E56" s="46">
        <v>147</v>
      </c>
      <c r="F56" s="46">
        <v>154</v>
      </c>
      <c r="G56" s="17">
        <v>357</v>
      </c>
      <c r="H56" s="16">
        <v>365</v>
      </c>
      <c r="J56" s="40"/>
      <c r="K56" s="40"/>
      <c r="L56" s="40"/>
    </row>
    <row r="57" spans="5:12" ht="13.5" thickBot="1" x14ac:dyDescent="0.25">
      <c r="E57" s="46">
        <v>154</v>
      </c>
      <c r="F57" s="46">
        <v>162</v>
      </c>
      <c r="G57" s="16">
        <v>365</v>
      </c>
      <c r="H57" s="17">
        <v>374</v>
      </c>
      <c r="J57" s="40"/>
      <c r="K57" s="40"/>
      <c r="L57" s="40"/>
    </row>
    <row r="58" spans="5:12" ht="13.5" thickBot="1" x14ac:dyDescent="0.25">
      <c r="E58" s="46">
        <v>162</v>
      </c>
      <c r="F58" s="46">
        <v>169</v>
      </c>
      <c r="G58" s="17">
        <v>374</v>
      </c>
      <c r="H58" s="16">
        <v>383</v>
      </c>
      <c r="J58" s="40"/>
      <c r="K58" s="40"/>
      <c r="L58" s="40"/>
    </row>
    <row r="59" spans="5:12" ht="13.5" thickBot="1" x14ac:dyDescent="0.25">
      <c r="E59" s="46">
        <v>169</v>
      </c>
      <c r="F59" s="46">
        <v>178</v>
      </c>
      <c r="G59" s="16">
        <v>383</v>
      </c>
      <c r="H59" s="17">
        <v>392</v>
      </c>
      <c r="J59" s="40"/>
      <c r="K59" s="40"/>
      <c r="L59" s="40"/>
    </row>
    <row r="60" spans="5:12" ht="13.5" thickBot="1" x14ac:dyDescent="0.25">
      <c r="E60" s="46">
        <v>178</v>
      </c>
      <c r="F60" s="46">
        <v>187</v>
      </c>
      <c r="G60" s="17">
        <v>392</v>
      </c>
      <c r="H60" s="16">
        <v>402</v>
      </c>
      <c r="J60" s="40"/>
      <c r="K60" s="40"/>
      <c r="L60" s="40"/>
    </row>
    <row r="61" spans="5:12" ht="13.5" thickBot="1" x14ac:dyDescent="0.25">
      <c r="E61" s="46">
        <v>187</v>
      </c>
      <c r="F61" s="46">
        <v>196</v>
      </c>
      <c r="G61" s="16">
        <v>402</v>
      </c>
      <c r="H61" s="17">
        <v>412</v>
      </c>
      <c r="J61" s="40"/>
      <c r="K61" s="40"/>
      <c r="L61" s="40"/>
    </row>
    <row r="62" spans="5:12" ht="13.5" thickBot="1" x14ac:dyDescent="0.25">
      <c r="E62" s="46">
        <v>196</v>
      </c>
      <c r="F62" s="46">
        <v>205</v>
      </c>
      <c r="G62" s="17">
        <v>412</v>
      </c>
      <c r="H62" s="16">
        <v>422</v>
      </c>
      <c r="J62" s="40"/>
      <c r="K62" s="40"/>
      <c r="L62" s="40"/>
    </row>
    <row r="63" spans="5:12" ht="13.5" thickBot="1" x14ac:dyDescent="0.25">
      <c r="E63" s="46">
        <v>205</v>
      </c>
      <c r="F63" s="46">
        <v>215</v>
      </c>
      <c r="G63" s="16">
        <v>422</v>
      </c>
      <c r="H63" s="17">
        <v>432</v>
      </c>
      <c r="J63" s="40"/>
      <c r="K63" s="40"/>
      <c r="L63" s="40"/>
    </row>
    <row r="64" spans="5:12" ht="13.5" thickBot="1" x14ac:dyDescent="0.25">
      <c r="E64" s="46">
        <v>215</v>
      </c>
      <c r="F64" s="46">
        <v>226</v>
      </c>
      <c r="G64" s="17">
        <v>432</v>
      </c>
      <c r="H64" s="16">
        <v>442</v>
      </c>
      <c r="J64" s="40"/>
      <c r="K64" s="40"/>
      <c r="L64" s="40"/>
    </row>
    <row r="65" spans="5:12" ht="13.5" thickBot="1" x14ac:dyDescent="0.25">
      <c r="E65" s="46">
        <v>226</v>
      </c>
      <c r="F65" s="46">
        <v>237</v>
      </c>
      <c r="G65" s="16">
        <v>442</v>
      </c>
      <c r="H65" s="17">
        <v>453</v>
      </c>
      <c r="J65" s="40"/>
      <c r="K65" s="40"/>
      <c r="L65" s="40"/>
    </row>
    <row r="66" spans="5:12" ht="13.5" thickBot="1" x14ac:dyDescent="0.25">
      <c r="E66" s="46">
        <v>237</v>
      </c>
      <c r="F66" s="46">
        <v>249</v>
      </c>
      <c r="G66" s="17">
        <v>453</v>
      </c>
      <c r="H66" s="16">
        <v>464</v>
      </c>
      <c r="J66" s="40"/>
      <c r="K66" s="40"/>
      <c r="L66" s="40"/>
    </row>
    <row r="67" spans="5:12" ht="13.5" thickBot="1" x14ac:dyDescent="0.25">
      <c r="E67" s="46">
        <v>249</v>
      </c>
      <c r="F67" s="46">
        <v>261</v>
      </c>
      <c r="G67" s="16">
        <v>464</v>
      </c>
      <c r="H67" s="17">
        <v>475</v>
      </c>
      <c r="J67" s="40"/>
      <c r="K67" s="40"/>
      <c r="L67" s="40"/>
    </row>
    <row r="68" spans="5:12" ht="13.5" thickBot="1" x14ac:dyDescent="0.25">
      <c r="E68" s="46">
        <v>261</v>
      </c>
      <c r="F68" s="46">
        <v>274</v>
      </c>
      <c r="G68" s="17">
        <v>475</v>
      </c>
      <c r="H68" s="16">
        <v>487</v>
      </c>
      <c r="J68" s="40"/>
      <c r="K68" s="40"/>
      <c r="L68" s="40"/>
    </row>
    <row r="69" spans="5:12" ht="13.5" thickBot="1" x14ac:dyDescent="0.25">
      <c r="E69" s="46">
        <v>274</v>
      </c>
      <c r="F69" s="46">
        <v>287</v>
      </c>
      <c r="G69" s="16">
        <v>487</v>
      </c>
      <c r="H69" s="17">
        <v>499</v>
      </c>
      <c r="J69" s="40"/>
      <c r="K69" s="40"/>
      <c r="L69" s="40"/>
    </row>
    <row r="70" spans="5:12" ht="13.5" thickBot="1" x14ac:dyDescent="0.25">
      <c r="E70" s="46">
        <v>287</v>
      </c>
      <c r="F70" s="46">
        <v>301</v>
      </c>
      <c r="G70" s="17">
        <v>499</v>
      </c>
      <c r="H70" s="16">
        <v>511</v>
      </c>
      <c r="J70" s="40"/>
      <c r="K70" s="40"/>
      <c r="L70" s="40"/>
    </row>
    <row r="71" spans="5:12" ht="13.5" thickBot="1" x14ac:dyDescent="0.25">
      <c r="E71" s="46">
        <v>301</v>
      </c>
      <c r="F71" s="46">
        <v>316</v>
      </c>
      <c r="G71" s="16">
        <v>511</v>
      </c>
      <c r="H71" s="17">
        <v>523</v>
      </c>
      <c r="J71" s="40"/>
      <c r="K71" s="40"/>
      <c r="L71" s="40"/>
    </row>
    <row r="72" spans="5:12" ht="13.5" thickBot="1" x14ac:dyDescent="0.25">
      <c r="E72" s="46">
        <v>316</v>
      </c>
      <c r="F72" s="46">
        <v>332</v>
      </c>
      <c r="G72" s="17">
        <v>523</v>
      </c>
      <c r="H72" s="16">
        <v>536</v>
      </c>
      <c r="J72" s="40"/>
      <c r="K72" s="40"/>
      <c r="L72" s="40"/>
    </row>
    <row r="73" spans="5:12" ht="13.5" thickBot="1" x14ac:dyDescent="0.25">
      <c r="E73" s="46">
        <v>332</v>
      </c>
      <c r="F73" s="46">
        <v>348</v>
      </c>
      <c r="G73" s="16">
        <v>536</v>
      </c>
      <c r="H73" s="17">
        <v>549</v>
      </c>
      <c r="J73" s="40"/>
      <c r="K73" s="40"/>
      <c r="L73" s="40"/>
    </row>
    <row r="74" spans="5:12" ht="13.5" thickBot="1" x14ac:dyDescent="0.25">
      <c r="E74" s="46">
        <v>348</v>
      </c>
      <c r="F74" s="46">
        <v>365</v>
      </c>
      <c r="G74" s="17">
        <v>549</v>
      </c>
      <c r="H74" s="16">
        <v>562</v>
      </c>
      <c r="J74" s="40"/>
      <c r="K74" s="40"/>
      <c r="L74" s="40"/>
    </row>
    <row r="75" spans="5:12" ht="13.5" thickBot="1" x14ac:dyDescent="0.25">
      <c r="E75" s="46">
        <v>365</v>
      </c>
      <c r="F75" s="46">
        <v>383</v>
      </c>
      <c r="G75" s="16">
        <v>562</v>
      </c>
      <c r="H75" s="17">
        <v>576</v>
      </c>
      <c r="J75" s="47"/>
      <c r="K75" s="47"/>
      <c r="L75" s="47"/>
    </row>
    <row r="76" spans="5:12" ht="13.5" thickBot="1" x14ac:dyDescent="0.25">
      <c r="E76" s="46">
        <v>383</v>
      </c>
      <c r="F76" s="46">
        <v>402</v>
      </c>
      <c r="G76" s="17">
        <v>576</v>
      </c>
      <c r="H76" s="16">
        <v>590</v>
      </c>
      <c r="J76" s="47"/>
      <c r="K76" s="47"/>
      <c r="L76" s="47"/>
    </row>
    <row r="77" spans="5:12" ht="13.5" thickBot="1" x14ac:dyDescent="0.25">
      <c r="E77" s="46">
        <v>402</v>
      </c>
      <c r="F77" s="46">
        <v>422</v>
      </c>
      <c r="G77" s="16">
        <v>590</v>
      </c>
      <c r="H77" s="17">
        <v>604</v>
      </c>
      <c r="J77" s="47"/>
      <c r="K77" s="47"/>
      <c r="L77" s="47"/>
    </row>
    <row r="78" spans="5:12" ht="13.5" thickBot="1" x14ac:dyDescent="0.25">
      <c r="E78" s="46">
        <v>422</v>
      </c>
      <c r="F78" s="46">
        <v>442</v>
      </c>
      <c r="G78" s="17">
        <v>604</v>
      </c>
      <c r="H78" s="16">
        <v>619</v>
      </c>
      <c r="J78" s="47"/>
      <c r="K78" s="47"/>
      <c r="L78" s="47"/>
    </row>
    <row r="79" spans="5:12" ht="13.5" thickBot="1" x14ac:dyDescent="0.25">
      <c r="E79" s="46">
        <v>442</v>
      </c>
      <c r="F79" s="46">
        <v>464</v>
      </c>
      <c r="G79" s="16">
        <v>619</v>
      </c>
      <c r="H79" s="17">
        <v>634</v>
      </c>
      <c r="J79" s="47"/>
      <c r="K79" s="47"/>
      <c r="L79" s="47"/>
    </row>
    <row r="80" spans="5:12" ht="13.5" thickBot="1" x14ac:dyDescent="0.25">
      <c r="E80" s="46">
        <v>464</v>
      </c>
      <c r="F80" s="46">
        <v>487</v>
      </c>
      <c r="G80" s="17">
        <v>634</v>
      </c>
      <c r="H80" s="16">
        <v>649</v>
      </c>
      <c r="J80" s="47"/>
      <c r="K80" s="47"/>
      <c r="L80" s="47"/>
    </row>
    <row r="81" spans="5:12" ht="13.5" thickBot="1" x14ac:dyDescent="0.25">
      <c r="E81" s="46">
        <v>487</v>
      </c>
      <c r="F81" s="46">
        <v>511</v>
      </c>
      <c r="G81" s="16">
        <v>649</v>
      </c>
      <c r="H81" s="17">
        <v>665</v>
      </c>
      <c r="J81" s="47"/>
      <c r="K81" s="47"/>
      <c r="L81" s="47"/>
    </row>
    <row r="82" spans="5:12" ht="13.5" thickBot="1" x14ac:dyDescent="0.25">
      <c r="E82" s="46">
        <v>511</v>
      </c>
      <c r="F82" s="46">
        <v>536</v>
      </c>
      <c r="G82" s="17">
        <v>665</v>
      </c>
      <c r="H82" s="16">
        <v>681</v>
      </c>
      <c r="J82" s="47"/>
      <c r="K82" s="47"/>
      <c r="L82" s="47"/>
    </row>
    <row r="83" spans="5:12" ht="13.5" thickBot="1" x14ac:dyDescent="0.25">
      <c r="E83" s="46">
        <v>536</v>
      </c>
      <c r="F83" s="46">
        <v>562</v>
      </c>
      <c r="G83" s="16">
        <v>681</v>
      </c>
      <c r="H83" s="17">
        <v>698</v>
      </c>
      <c r="J83" s="47"/>
      <c r="K83" s="47"/>
      <c r="L83" s="47"/>
    </row>
    <row r="84" spans="5:12" ht="13.5" thickBot="1" x14ac:dyDescent="0.25">
      <c r="E84" s="46">
        <v>562</v>
      </c>
      <c r="F84" s="46">
        <v>590</v>
      </c>
      <c r="G84" s="17">
        <v>698</v>
      </c>
      <c r="H84" s="16">
        <v>715</v>
      </c>
      <c r="J84" s="47"/>
      <c r="K84" s="47"/>
      <c r="L84" s="47"/>
    </row>
    <row r="85" spans="5:12" ht="13.5" thickBot="1" x14ac:dyDescent="0.25">
      <c r="E85" s="46">
        <v>590</v>
      </c>
      <c r="F85" s="46">
        <v>619</v>
      </c>
      <c r="G85" s="16">
        <v>715</v>
      </c>
      <c r="H85" s="17">
        <v>732</v>
      </c>
      <c r="J85" s="47"/>
      <c r="K85" s="47"/>
      <c r="L85" s="47"/>
    </row>
    <row r="86" spans="5:12" ht="13.5" thickBot="1" x14ac:dyDescent="0.25">
      <c r="E86" s="46">
        <v>619</v>
      </c>
      <c r="F86" s="46">
        <v>649</v>
      </c>
      <c r="G86" s="17">
        <v>732</v>
      </c>
      <c r="H86" s="16">
        <v>750</v>
      </c>
      <c r="J86" s="47"/>
      <c r="K86" s="47"/>
      <c r="L86" s="47"/>
    </row>
    <row r="87" spans="5:12" ht="13.5" thickBot="1" x14ac:dyDescent="0.25">
      <c r="E87" s="46">
        <v>649</v>
      </c>
      <c r="F87" s="46">
        <v>681</v>
      </c>
      <c r="G87" s="16">
        <v>750</v>
      </c>
      <c r="H87" s="17">
        <v>768</v>
      </c>
      <c r="J87" s="47"/>
      <c r="K87" s="47"/>
      <c r="L87" s="47"/>
    </row>
    <row r="88" spans="5:12" ht="13.5" thickBot="1" x14ac:dyDescent="0.25">
      <c r="E88" s="46">
        <v>681</v>
      </c>
      <c r="F88" s="46">
        <v>715</v>
      </c>
      <c r="G88" s="17">
        <v>768</v>
      </c>
      <c r="H88" s="16">
        <v>787</v>
      </c>
      <c r="J88" s="47"/>
      <c r="K88" s="47"/>
      <c r="L88" s="47"/>
    </row>
    <row r="89" spans="5:12" ht="13.5" thickBot="1" x14ac:dyDescent="0.25">
      <c r="E89" s="46">
        <v>715</v>
      </c>
      <c r="F89" s="46">
        <v>750</v>
      </c>
      <c r="G89" s="16">
        <v>787</v>
      </c>
      <c r="H89" s="17">
        <v>806</v>
      </c>
      <c r="J89" s="47"/>
      <c r="K89" s="47"/>
      <c r="L89" s="47"/>
    </row>
    <row r="90" spans="5:12" ht="13.5" thickBot="1" x14ac:dyDescent="0.25">
      <c r="E90" s="46">
        <v>750</v>
      </c>
      <c r="F90" s="46">
        <v>787</v>
      </c>
      <c r="G90" s="17">
        <v>806</v>
      </c>
      <c r="H90" s="16">
        <v>825</v>
      </c>
      <c r="J90" s="47"/>
      <c r="K90" s="47"/>
      <c r="L90" s="47"/>
    </row>
    <row r="91" spans="5:12" ht="13.5" thickBot="1" x14ac:dyDescent="0.25">
      <c r="E91" s="46">
        <v>787</v>
      </c>
      <c r="F91" s="46">
        <v>825</v>
      </c>
      <c r="G91" s="16">
        <v>825</v>
      </c>
      <c r="H91" s="17">
        <v>845</v>
      </c>
      <c r="J91" s="47"/>
      <c r="K91" s="47"/>
      <c r="L91" s="47"/>
    </row>
    <row r="92" spans="5:12" ht="13.5" thickBot="1" x14ac:dyDescent="0.25">
      <c r="E92" s="46">
        <v>825</v>
      </c>
      <c r="F92" s="46">
        <v>866</v>
      </c>
      <c r="G92" s="17">
        <v>845</v>
      </c>
      <c r="H92" s="16">
        <v>866</v>
      </c>
      <c r="J92" s="47"/>
      <c r="K92" s="47"/>
      <c r="L92" s="47"/>
    </row>
    <row r="93" spans="5:12" ht="13.5" thickBot="1" x14ac:dyDescent="0.25">
      <c r="E93" s="46">
        <v>866</v>
      </c>
      <c r="F93" s="46">
        <v>909</v>
      </c>
      <c r="G93" s="16">
        <v>866</v>
      </c>
      <c r="H93" s="17">
        <v>887</v>
      </c>
      <c r="J93" s="47"/>
      <c r="K93" s="47"/>
      <c r="L93" s="47"/>
    </row>
    <row r="94" spans="5:12" ht="13.5" thickBot="1" x14ac:dyDescent="0.25">
      <c r="E94" s="46">
        <v>909</v>
      </c>
      <c r="F94" s="46">
        <v>953</v>
      </c>
      <c r="G94" s="17">
        <v>887</v>
      </c>
      <c r="H94" s="16">
        <v>909</v>
      </c>
      <c r="J94" s="47"/>
      <c r="K94" s="47"/>
      <c r="L94" s="47"/>
    </row>
    <row r="95" spans="5:12" ht="13.5" thickBot="1" x14ac:dyDescent="0.25">
      <c r="E95" s="46">
        <v>953</v>
      </c>
      <c r="F95" s="46">
        <v>1000</v>
      </c>
      <c r="G95" s="16">
        <v>909</v>
      </c>
      <c r="H95" s="17">
        <v>931</v>
      </c>
      <c r="J95" s="47"/>
      <c r="K95" s="47"/>
      <c r="L95" s="47"/>
    </row>
    <row r="96" spans="5:12" ht="13.5" thickBot="1" x14ac:dyDescent="0.25">
      <c r="G96" s="17">
        <v>931</v>
      </c>
      <c r="H96" s="16">
        <v>953</v>
      </c>
      <c r="J96" s="47"/>
      <c r="K96" s="47"/>
      <c r="L96" s="47"/>
    </row>
    <row r="97" spans="7:12" ht="13.5" thickBot="1" x14ac:dyDescent="0.25">
      <c r="G97" s="16">
        <v>953</v>
      </c>
      <c r="H97" s="17">
        <v>976</v>
      </c>
      <c r="J97" s="47"/>
      <c r="K97" s="47"/>
      <c r="L97" s="47"/>
    </row>
    <row r="98" spans="7:12" ht="13.5" thickBot="1" x14ac:dyDescent="0.25">
      <c r="G98" s="17">
        <v>976</v>
      </c>
      <c r="H98" s="17">
        <v>1000</v>
      </c>
      <c r="J98" s="47"/>
      <c r="K98" s="47"/>
      <c r="L98" s="47"/>
    </row>
    <row r="99" spans="7:12" x14ac:dyDescent="0.2">
      <c r="J99" s="47"/>
      <c r="K99" s="47"/>
      <c r="L99" s="47"/>
    </row>
    <row r="100" spans="7:12" x14ac:dyDescent="0.2">
      <c r="J100" s="47"/>
      <c r="K100" s="47"/>
      <c r="L100" s="47"/>
    </row>
    <row r="101" spans="7:12" x14ac:dyDescent="0.2">
      <c r="J101" s="47"/>
      <c r="K101" s="47"/>
      <c r="L101" s="47"/>
    </row>
    <row r="102" spans="7:12" x14ac:dyDescent="0.2">
      <c r="J102" s="47"/>
      <c r="K102" s="47"/>
      <c r="L102" s="47"/>
    </row>
    <row r="103" spans="7:12" x14ac:dyDescent="0.2">
      <c r="J103" s="47"/>
      <c r="K103" s="47"/>
      <c r="L103" s="47"/>
    </row>
    <row r="104" spans="7:12" x14ac:dyDescent="0.2">
      <c r="J104" s="47"/>
      <c r="K104" s="47"/>
      <c r="L104" s="47"/>
    </row>
    <row r="105" spans="7:12" x14ac:dyDescent="0.2">
      <c r="J105" s="47"/>
      <c r="K105" s="47"/>
      <c r="L105" s="47"/>
    </row>
    <row r="106" spans="7:12" x14ac:dyDescent="0.2">
      <c r="J106" s="47"/>
      <c r="K106" s="47"/>
      <c r="L106" s="47"/>
    </row>
    <row r="107" spans="7:12" x14ac:dyDescent="0.2">
      <c r="J107" s="47"/>
      <c r="K107" s="47"/>
      <c r="L107" s="47"/>
    </row>
    <row r="108" spans="7:12" x14ac:dyDescent="0.2">
      <c r="J108" s="47"/>
      <c r="K108" s="47"/>
      <c r="L108" s="47"/>
    </row>
    <row r="109" spans="7:12" x14ac:dyDescent="0.2">
      <c r="J109" s="47"/>
      <c r="K109" s="47"/>
      <c r="L109" s="47"/>
    </row>
    <row r="110" spans="7:12" x14ac:dyDescent="0.2">
      <c r="J110" s="47"/>
      <c r="K110" s="47"/>
      <c r="L110" s="47"/>
    </row>
    <row r="111" spans="7:12" x14ac:dyDescent="0.2">
      <c r="J111" s="47"/>
      <c r="K111" s="47"/>
      <c r="L111" s="47"/>
    </row>
    <row r="112" spans="7:12" x14ac:dyDescent="0.2">
      <c r="J112" s="47"/>
      <c r="K112" s="47"/>
      <c r="L112" s="47"/>
    </row>
    <row r="113" spans="10:12" x14ac:dyDescent="0.2">
      <c r="J113" s="47"/>
      <c r="K113" s="47"/>
      <c r="L113" s="47"/>
    </row>
    <row r="114" spans="10:12" x14ac:dyDescent="0.2">
      <c r="J114" s="47"/>
      <c r="K114" s="47"/>
      <c r="L114" s="47"/>
    </row>
    <row r="115" spans="10:12" x14ac:dyDescent="0.2">
      <c r="J115" s="47"/>
      <c r="K115" s="47"/>
      <c r="L115" s="47"/>
    </row>
    <row r="116" spans="10:12" x14ac:dyDescent="0.2">
      <c r="J116" s="47"/>
      <c r="K116" s="47"/>
      <c r="L116" s="47"/>
    </row>
    <row r="117" spans="10:12" x14ac:dyDescent="0.2">
      <c r="J117" s="47"/>
      <c r="K117" s="47"/>
      <c r="L117" s="47"/>
    </row>
    <row r="118" spans="10:12" x14ac:dyDescent="0.2">
      <c r="J118" s="47"/>
      <c r="K118" s="47"/>
      <c r="L118" s="47"/>
    </row>
    <row r="119" spans="10:12" x14ac:dyDescent="0.2">
      <c r="J119" s="47"/>
      <c r="K119" s="47"/>
      <c r="L119" s="47"/>
    </row>
    <row r="120" spans="10:12" x14ac:dyDescent="0.2">
      <c r="J120" s="47"/>
      <c r="K120" s="47"/>
      <c r="L120" s="47"/>
    </row>
    <row r="121" spans="10:12" x14ac:dyDescent="0.2">
      <c r="J121" s="47"/>
      <c r="K121" s="47"/>
      <c r="L121" s="47"/>
    </row>
    <row r="122" spans="10:12" x14ac:dyDescent="0.2">
      <c r="J122" s="47"/>
      <c r="K122" s="47"/>
      <c r="L122" s="47"/>
    </row>
    <row r="123" spans="10:12" x14ac:dyDescent="0.2">
      <c r="J123" s="47"/>
      <c r="K123" s="47"/>
      <c r="L123" s="47"/>
    </row>
    <row r="124" spans="10:12" x14ac:dyDescent="0.2">
      <c r="J124" s="47"/>
      <c r="K124" s="47"/>
      <c r="L124" s="47"/>
    </row>
    <row r="125" spans="10:12" x14ac:dyDescent="0.2">
      <c r="J125" s="47"/>
      <c r="K125" s="47"/>
      <c r="L125" s="47"/>
    </row>
    <row r="126" spans="10:12" x14ac:dyDescent="0.2">
      <c r="J126" s="47"/>
      <c r="K126" s="47"/>
      <c r="L126" s="47"/>
    </row>
    <row r="127" spans="10:12" x14ac:dyDescent="0.2">
      <c r="J127" s="47"/>
      <c r="K127" s="47"/>
      <c r="L127" s="47"/>
    </row>
    <row r="128" spans="10:12" x14ac:dyDescent="0.2">
      <c r="J128" s="47"/>
      <c r="K128" s="47"/>
      <c r="L128" s="47"/>
    </row>
    <row r="129" spans="10:12" x14ac:dyDescent="0.2">
      <c r="J129" s="47"/>
      <c r="K129" s="47"/>
      <c r="L129" s="47"/>
    </row>
    <row r="130" spans="10:12" x14ac:dyDescent="0.2">
      <c r="J130" s="47"/>
      <c r="K130" s="47"/>
      <c r="L130" s="47"/>
    </row>
    <row r="131" spans="10:12" x14ac:dyDescent="0.2">
      <c r="J131" s="47"/>
      <c r="K131" s="47"/>
      <c r="L131" s="47"/>
    </row>
    <row r="132" spans="10:12" x14ac:dyDescent="0.2">
      <c r="J132" s="47"/>
      <c r="K132" s="47"/>
      <c r="L132" s="47"/>
    </row>
    <row r="133" spans="10:12" x14ac:dyDescent="0.2">
      <c r="J133" s="47"/>
      <c r="K133" s="47"/>
      <c r="L133" s="47"/>
    </row>
    <row r="134" spans="10:12" x14ac:dyDescent="0.2">
      <c r="J134" s="47"/>
      <c r="K134" s="47"/>
      <c r="L134" s="47"/>
    </row>
    <row r="135" spans="10:12" x14ac:dyDescent="0.2">
      <c r="J135" s="47"/>
      <c r="K135" s="47"/>
      <c r="L135" s="47"/>
    </row>
    <row r="136" spans="10:12" x14ac:dyDescent="0.2">
      <c r="J136" s="47"/>
      <c r="K136" s="47"/>
      <c r="L136" s="47"/>
    </row>
    <row r="137" spans="10:12" x14ac:dyDescent="0.2">
      <c r="J137" s="47"/>
      <c r="K137" s="47"/>
      <c r="L137" s="47"/>
    </row>
    <row r="138" spans="10:12" x14ac:dyDescent="0.2">
      <c r="J138" s="47"/>
      <c r="K138" s="47"/>
      <c r="L138" s="47"/>
    </row>
    <row r="139" spans="10:12" x14ac:dyDescent="0.2">
      <c r="J139" s="47"/>
      <c r="K139" s="47"/>
      <c r="L139" s="47"/>
    </row>
    <row r="140" spans="10:12" x14ac:dyDescent="0.2">
      <c r="J140" s="47"/>
      <c r="K140" s="47"/>
      <c r="L140" s="47"/>
    </row>
    <row r="141" spans="10:12" x14ac:dyDescent="0.2">
      <c r="J141" s="47"/>
      <c r="K141" s="47"/>
      <c r="L141" s="47"/>
    </row>
    <row r="142" spans="10:12" x14ac:dyDescent="0.2">
      <c r="J142" s="47"/>
      <c r="K142" s="47"/>
      <c r="L142" s="47"/>
    </row>
    <row r="143" spans="10:12" x14ac:dyDescent="0.2">
      <c r="J143" s="47"/>
      <c r="K143" s="47"/>
      <c r="L143" s="47"/>
    </row>
    <row r="144" spans="10:12" x14ac:dyDescent="0.2">
      <c r="J144" s="47"/>
      <c r="K144" s="47"/>
      <c r="L144" s="47"/>
    </row>
    <row r="145" spans="10:12" x14ac:dyDescent="0.2">
      <c r="J145" s="47"/>
      <c r="K145" s="47"/>
      <c r="L145" s="47"/>
    </row>
  </sheetData>
  <mergeCells count="5">
    <mergeCell ref="E47:F47"/>
    <mergeCell ref="E2:F2"/>
    <mergeCell ref="G2:H2"/>
    <mergeCell ref="E9:F9"/>
    <mergeCell ref="E22:F22"/>
  </mergeCell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96</vt:i4>
      </vt:variant>
    </vt:vector>
  </HeadingPairs>
  <TitlesOfParts>
    <vt:vector size="104" baseType="lpstr">
      <vt:lpstr>Instructions</vt:lpstr>
      <vt:lpstr>Functional Schematic</vt:lpstr>
      <vt:lpstr>Design Information</vt:lpstr>
      <vt:lpstr>Figure of T1 Current</vt:lpstr>
      <vt:lpstr>TABSET Valley Switching</vt:lpstr>
      <vt:lpstr>TCDSET Valley Switching</vt:lpstr>
      <vt:lpstr>Voltage Loop</vt:lpstr>
      <vt:lpstr>Standard R and C Look Up Table</vt:lpstr>
      <vt:lpstr>_imp2</vt:lpstr>
      <vt:lpstr>_ims2</vt:lpstr>
      <vt:lpstr>_ipp1</vt:lpstr>
      <vt:lpstr>_ta1</vt:lpstr>
      <vt:lpstr>_ta11</vt:lpstr>
      <vt:lpstr>_ta2</vt:lpstr>
      <vt:lpstr>_taa1</vt:lpstr>
      <vt:lpstr>_va1</vt:lpstr>
      <vt:lpstr>C_enter</vt:lpstr>
      <vt:lpstr>C_f1</vt:lpstr>
      <vt:lpstr>C_f2</vt:lpstr>
      <vt:lpstr>c_s1</vt:lpstr>
      <vt:lpstr>C_s2</vt:lpstr>
      <vt:lpstr>Center</vt:lpstr>
      <vt:lpstr>constant</vt:lpstr>
      <vt:lpstr>cossqaavg</vt:lpstr>
      <vt:lpstr>cossqaspec</vt:lpstr>
      <vt:lpstr>cossqeavg</vt:lpstr>
      <vt:lpstr>cout</vt:lpstr>
      <vt:lpstr>Cp</vt:lpstr>
      <vt:lpstr>Cstandard</vt:lpstr>
      <vt:lpstr>Cz</vt:lpstr>
      <vt:lpstr>d2a</vt:lpstr>
      <vt:lpstr>dclamp</vt:lpstr>
      <vt:lpstr>dcrlout</vt:lpstr>
      <vt:lpstr>dcrp</vt:lpstr>
      <vt:lpstr>dcrs</vt:lpstr>
      <vt:lpstr>dilmag</vt:lpstr>
      <vt:lpstr>dilout</vt:lpstr>
      <vt:lpstr>dmax</vt:lpstr>
      <vt:lpstr>dtyp</vt:lpstr>
      <vt:lpstr>E12_f</vt:lpstr>
      <vt:lpstr>E12_s</vt:lpstr>
      <vt:lpstr>E24_f</vt:lpstr>
      <vt:lpstr>E24_s</vt:lpstr>
      <vt:lpstr>E48_f</vt:lpstr>
      <vt:lpstr>E48_s</vt:lpstr>
      <vt:lpstr>E6_f</vt:lpstr>
      <vt:lpstr>E6_s</vt:lpstr>
      <vt:lpstr>E96_f</vt:lpstr>
      <vt:lpstr>E96_s</vt:lpstr>
      <vt:lpstr>Eff</vt:lpstr>
      <vt:lpstr>esrcout</vt:lpstr>
      <vt:lpstr>fc</vt:lpstr>
      <vt:lpstr>fpp</vt:lpstr>
      <vt:lpstr>fs</vt:lpstr>
      <vt:lpstr>iloutrms</vt:lpstr>
      <vt:lpstr>imp</vt:lpstr>
      <vt:lpstr>ims</vt:lpstr>
      <vt:lpstr>ipp</vt:lpstr>
      <vt:lpstr>iprms</vt:lpstr>
      <vt:lpstr>iprms1</vt:lpstr>
      <vt:lpstr>iprms2</vt:lpstr>
      <vt:lpstr>ips</vt:lpstr>
      <vt:lpstr>isrms</vt:lpstr>
      <vt:lpstr>isrms1</vt:lpstr>
      <vt:lpstr>isrms2</vt:lpstr>
      <vt:lpstr>isrms3</vt:lpstr>
      <vt:lpstr>llk</vt:lpstr>
      <vt:lpstr>lmag</vt:lpstr>
      <vt:lpstr>lmag1</vt:lpstr>
      <vt:lpstr>lmag2</vt:lpstr>
      <vt:lpstr>lout</vt:lpstr>
      <vt:lpstr>ls</vt:lpstr>
      <vt:lpstr>n1divd1</vt:lpstr>
      <vt:lpstr>pbudget</vt:lpstr>
      <vt:lpstr>pout</vt:lpstr>
      <vt:lpstr>QAg</vt:lpstr>
      <vt:lpstr>qeg</vt:lpstr>
      <vt:lpstr>rdsonqa</vt:lpstr>
      <vt:lpstr>rdsonqe</vt:lpstr>
      <vt:lpstr>rf</vt:lpstr>
      <vt:lpstr>RII</vt:lpstr>
      <vt:lpstr>rload</vt:lpstr>
      <vt:lpstr>RS</vt:lpstr>
      <vt:lpstr>sta</vt:lpstr>
      <vt:lpstr>stb</vt:lpstr>
      <vt:lpstr>tabset</vt:lpstr>
      <vt:lpstr>tafset</vt:lpstr>
      <vt:lpstr>tcdset</vt:lpstr>
      <vt:lpstr>tdelay</vt:lpstr>
      <vt:lpstr>thu</vt:lpstr>
      <vt:lpstr>tr</vt:lpstr>
      <vt:lpstr>vadel</vt:lpstr>
      <vt:lpstr>vdsqe</vt:lpstr>
      <vt:lpstr>vg</vt:lpstr>
      <vt:lpstr>vin</vt:lpstr>
      <vt:lpstr>VINMAX</vt:lpstr>
      <vt:lpstr>VINMIAX</vt:lpstr>
      <vt:lpstr>VINMIN</vt:lpstr>
      <vt:lpstr>VOUT</vt:lpstr>
      <vt:lpstr>voutmin</vt:lpstr>
      <vt:lpstr>vrdson</vt:lpstr>
      <vt:lpstr>Vslope1</vt:lpstr>
      <vt:lpstr>Vslope2</vt:lpstr>
      <vt:lpstr>VTRAN</vt:lpstr>
    </vt:vector>
  </TitlesOfParts>
  <Company>Texas Instruments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O'Loughlin</dc:creator>
  <cp:lastModifiedBy>SUGALI HARINAIK</cp:lastModifiedBy>
  <cp:lastPrinted>2010-06-11T18:34:05Z</cp:lastPrinted>
  <dcterms:created xsi:type="dcterms:W3CDTF">2010-04-19T17:22:29Z</dcterms:created>
  <dcterms:modified xsi:type="dcterms:W3CDTF">2023-11-17T14:11:26Z</dcterms:modified>
</cp:coreProperties>
</file>