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 ContentType="application/vnd.visi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defaultThemeVersion="124226"/>
  <mc:AlternateContent xmlns:mc="http://schemas.openxmlformats.org/markup-compatibility/2006">
    <mc:Choice Requires="x15">
      <x15ac:absPath xmlns:x15ac="http://schemas.microsoft.com/office/spreadsheetml/2010/11/ac" url="\\Sanda16\2_090企業機密（電技）\02部内共用\03社外秘\01.作業用\00.共通\10.オーダー別\R8.研究開発\R8-59-8182(航空機搭載用高効率電源)\30_設計検討\設計ツール\"/>
    </mc:Choice>
  </mc:AlternateContent>
  <xr:revisionPtr revIDLastSave="0" documentId="13_ncr:1_{10BD5522-4D63-4DD2-8D33-707F2B6567BB}" xr6:coauthVersionLast="47" xr6:coauthVersionMax="47" xr10:uidLastSave="{00000000-0000-0000-0000-000000000000}"/>
  <bookViews>
    <workbookView xWindow="19080" yWindow="-120" windowWidth="19440" windowHeight="15000" activeTab="1" xr2:uid="{00000000-000D-0000-FFFF-FFFF00000000}"/>
  </bookViews>
  <sheets>
    <sheet name="SCHEMATIC" sheetId="3" r:id="rId1"/>
    <sheet name="DESIGN INPUTS AND CALCULATIONS" sheetId="1" r:id="rId2"/>
    <sheet name="tables and calculations" sheetId="2" state="hidden" r:id="rId3"/>
    <sheet name="Sheet1" sheetId="4" r:id="rId4"/>
  </sheets>
  <externalReferences>
    <externalReference r:id="rId5"/>
    <externalReference r:id="rId6"/>
  </externalReferences>
  <definedNames>
    <definedName name="_xlnm._FilterDatabase" localSheetId="1" hidden="1">'DESIGN INPUTS AND CALCULATIONS'!$A$38:$E$50</definedName>
    <definedName name="Bvdss">'DESIGN INPUTS AND CALCULATIONS'!#REF!</definedName>
    <definedName name="C_1initial">'tables and calculations'!$K$185</definedName>
    <definedName name="C_1llc_filter">'DESIGN INPUTS AND CALCULATIONS'!#REF!</definedName>
    <definedName name="C_1rec">'tables and calculations'!$K$186</definedName>
    <definedName name="C_f1">'tables and calculations'!$F$191</definedName>
    <definedName name="C_f2">'tables and calculations'!$E$193</definedName>
    <definedName name="C_s1">'tables and calculations'!$E$180</definedName>
    <definedName name="C_s2">'tables and calculations'!$F$199</definedName>
    <definedName name="Cblk">'DESIGN INPUTS AND CALCULATIONS'!#REF!</definedName>
    <definedName name="Cblk_initial">'tables and calculations'!$K$199</definedName>
    <definedName name="Cblk_rec">'tables and calculations'!$K$200</definedName>
    <definedName name="Cbulk_initial">'tables and calculations'!#REF!</definedName>
    <definedName name="Ceq">'DESIGN INPUTS AND CALCULATIONS'!#REF!</definedName>
    <definedName name="Cin">'DESIGN INPUTS AND CALCULATIONS'!#REF!</definedName>
    <definedName name="Cin_initial">'tables and calculations'!$K$192</definedName>
    <definedName name="Cin_rec">'tables and calculations'!$K$193</definedName>
    <definedName name="Coss_LLC">'DESIGN INPUTS AND CALCULATIONS'!#REF!</definedName>
    <definedName name="Coss_pfc">'DESIGN INPUTS AND CALCULATIONS'!#REF!</definedName>
    <definedName name="Cr">'DESIGN INPUTS AND CALCULATIONS'!$C$92</definedName>
    <definedName name="Cr_initial">'tables and calculations'!$K$178</definedName>
    <definedName name="Cr_rec">'tables and calculations'!$K$179</definedName>
    <definedName name="Cs_1">'tables and calculations'!$E$180</definedName>
    <definedName name="Cvcc">'DESIGN INPUTS AND CALCULATIONS'!#REF!</definedName>
    <definedName name="deltaVin">'DESIGN INPUTS AND CALCULATIONS'!#REF!</definedName>
    <definedName name="eff">'DESIGN INPUTS AND CALCULATIONS'!$C$29</definedName>
    <definedName name="Energy_C">'DESIGN INPUTS AND CALCULATIONS'!#REF!</definedName>
    <definedName name="Energy_L">'DESIGN INPUTS AND CALCULATIONS'!#REF!</definedName>
    <definedName name="ESR">'DESIGN INPUTS AND CALCULATIONS'!$C$139</definedName>
    <definedName name="f_pfc">'DESIGN INPUTS AND CALCULATIONS'!#REF!</definedName>
    <definedName name="f0">'DESIGN INPUTS AND CALCULATIONS'!$C$97</definedName>
    <definedName name="fline_max">'DESIGN INPUTS AND CALCULATIONS'!#REF!</definedName>
    <definedName name="fline_min">'DESIGN INPUTS AND CALCULATIONS'!#REF!</definedName>
    <definedName name="fllc">'DESIGN INPUTS AND CALCULATIONS'!$C$38</definedName>
    <definedName name="fn_Mgmax">'DESIGN INPUTS AND CALCULATIONS'!$C$101</definedName>
    <definedName name="fn_Mgmin">'DESIGN INPUTS AND CALCULATIONS'!$C$102</definedName>
    <definedName name="fNmax">'DESIGN INPUTS AND CALCULATIONS'!$C$59</definedName>
    <definedName name="fsw_max">'DESIGN INPUTS AND CALCULATIONS'!$C$103</definedName>
    <definedName name="fsw_min">'DESIGN INPUTS AND CALCULATIONS'!$C$104</definedName>
    <definedName name="Ibridge">'DESIGN INPUTS AND CALCULATIONS'!#REF!</definedName>
    <definedName name="Ic_out">'DESIGN INPUTS AND CALCULATIONS'!$C$138</definedName>
    <definedName name="Icblk_ripple">'DESIGN INPUTS AND CALCULATIONS'!#REF!</definedName>
    <definedName name="Ihfr_pfc">'DESIGN INPUTS AND CALCULATIONS'!#REF!</definedName>
    <definedName name="Ihfr_pfctarget">'DESIGN INPUTS AND CALCULATIONS'!#REF!</definedName>
    <definedName name="Il_peak">'DESIGN INPUTS AND CALCULATIONS'!#REF!</definedName>
    <definedName name="Iline_avg">'DESIGN INPUTS AND CALCULATIONS'!#REF!</definedName>
    <definedName name="Iline_peak">'DESIGN INPUTS AND CALCULATIONS'!#REF!</definedName>
    <definedName name="Iline_rms">'DESIGN INPUTS AND CALCULATIONS'!#REF!</definedName>
    <definedName name="Im">'DESIGN INPUTS AND CALCULATIONS'!$C$107</definedName>
    <definedName name="Im_peak">'DESIGN INPUTS AND CALCULATIONS'!#REF!</definedName>
    <definedName name="Ioe">'DESIGN INPUTS AND CALCULATIONS'!$C$106</definedName>
    <definedName name="Iout">'DESIGN INPUTS AND CALCULATIONS'!$C$27</definedName>
    <definedName name="Iout_pfc">'DESIGN INPUTS AND CALCULATIONS'!#REF!</definedName>
    <definedName name="Iq_LLC">'DESIGN INPUTS AND CALCULATIONS'!$C$129</definedName>
    <definedName name="Ir">'DESIGN INPUTS AND CALCULATIONS'!$C$108</definedName>
    <definedName name="Irect">'DESIGN INPUTS AND CALCULATIONS'!$C$136</definedName>
    <definedName name="Iripple_factor">'DESIGN INPUTS AND CALCULATIONS'!#REF!</definedName>
    <definedName name="Isav">'DESIGN INPUTS AND CALCULATIONS'!$C$133</definedName>
    <definedName name="kHz">'tables and calculations'!$B$180</definedName>
    <definedName name="kOhm">'tables and calculations'!$B$191</definedName>
    <definedName name="kOhms">[1]data!$H$18</definedName>
    <definedName name="Lm">'DESIGN INPUTS AND CALCULATIONS'!$C$96</definedName>
    <definedName name="Lm_rec">'DESIGN INPUTS AND CALCULATIONS'!$C$95</definedName>
    <definedName name="Ln">'DESIGN INPUTS AND CALCULATIONS'!$C$99</definedName>
    <definedName name="Ln_selected">'DESIGN INPUTS AND CALCULATIONS'!$C$56</definedName>
    <definedName name="Lpfc">'DESIGN INPUTS AND CALCULATIONS'!#REF!</definedName>
    <definedName name="Lpfc_rec">'DESIGN INPUTS AND CALCULATIONS'!#REF!</definedName>
    <definedName name="Lr">'DESIGN INPUTS AND CALCULATIONS'!$C$94</definedName>
    <definedName name="Lr_rec">'DESIGN INPUTS AND CALCULATIONS'!$C$93</definedName>
    <definedName name="mA">'tables and calculations'!$B$183</definedName>
    <definedName name="MegOhm">[1]data!$H$22</definedName>
    <definedName name="Mg_max">'DESIGN INPUTS AND CALCULATIONS'!$C$48</definedName>
    <definedName name="Mg_min">'DESIGN INPUTS AND CALCULATIONS'!$C$47</definedName>
    <definedName name="Mg_noload">'DESIGN INPUTS AND CALCULATIONS'!$C$58</definedName>
    <definedName name="MHz">'tables and calculations'!$B$189</definedName>
    <definedName name="mOhm">'tables and calculations'!$B$181</definedName>
    <definedName name="ms">'tables and calculations'!$B$182</definedName>
    <definedName name="mV">'tables and calculations'!$B$178</definedName>
    <definedName name="mW">'tables and calculations'!$B$187</definedName>
    <definedName name="nC">'tables and calculations'!$B$192</definedName>
    <definedName name="nF">'tables and calculations'!$B$193</definedName>
    <definedName name="Nps">'DESIGN INPUTS AND CALCULATIONS'!$C$41</definedName>
    <definedName name="Nps_rec">'DESIGN INPUTS AND CALCULATIONS'!#REF!</definedName>
    <definedName name="ns">'tables and calculations'!$B$186</definedName>
    <definedName name="Pbridge">'DESIGN INPUTS AND CALCULATIONS'!#REF!</definedName>
    <definedName name="PF">'DESIGN INPUTS AND CALCULATIONS'!#REF!</definedName>
    <definedName name="picoF">'tables and calculations'!$B$188</definedName>
    <definedName name="Pin">[2]CALCULATIONS!$C$30</definedName>
    <definedName name="Pout">'DESIGN INPUTS AND CALCULATIONS'!$C$26</definedName>
    <definedName name="Ppfc_diode">'DESIGN INPUTS AND CALCULATIONS'!#REF!</definedName>
    <definedName name="Ppfc_diode_cond">'DESIGN INPUTS AND CALCULATIONS'!#REF!</definedName>
    <definedName name="Ppfcdiode_rr">'DESIGN INPUTS AND CALCULATIONS'!#REF!</definedName>
    <definedName name="Pqpfc">'DESIGN INPUTS AND CALCULATIONS'!#REF!</definedName>
    <definedName name="Pqpfc_cond">'DESIGN INPUTS AND CALCULATIONS'!#REF!</definedName>
    <definedName name="Pqpfc_sw">'DESIGN INPUTS AND CALCULATIONS'!#REF!</definedName>
    <definedName name="Prcs_llc">'DESIGN INPUTS AND CALCULATIONS'!#REF!</definedName>
    <definedName name="Qe">'DESIGN INPUTS AND CALCULATIONS'!$C$100</definedName>
    <definedName name="Qe_selected">'DESIGN INPUTS AND CALCULATIONS'!$C$57</definedName>
    <definedName name="Qrr">'DESIGN INPUTS AND CALCULATIONS'!#REF!</definedName>
    <definedName name="Rcs_LLC">'DESIGN INPUTS AND CALCULATIONS'!#REF!</definedName>
    <definedName name="Rdson">'DESIGN INPUTS AND CALCULATIONS'!#REF!</definedName>
    <definedName name="Re">'DESIGN INPUTS AND CALCULATIONS'!$C$44</definedName>
    <definedName name="Re_fl">'DESIGN INPUTS AND CALCULATIONS'!$C$45</definedName>
    <definedName name="tdead">'DESIGN INPUTS AND CALCULATIONS'!#REF!</definedName>
    <definedName name="tf">'DESIGN INPUTS AND CALCULATIONS'!#REF!</definedName>
    <definedName name="tH">'DESIGN INPUTS AND CALCULATIONS'!#REF!</definedName>
    <definedName name="tr">'DESIGN INPUTS AND CALCULATIONS'!#REF!</definedName>
    <definedName name="uA">'tables and calculations'!$B$190</definedName>
    <definedName name="uC">'tables and calculations'!$B$194</definedName>
    <definedName name="uF">'tables and calculations'!$B$179</definedName>
    <definedName name="uH">'tables and calculations'!$B$185</definedName>
    <definedName name="us">'tables and calculations'!$B$184</definedName>
    <definedName name="Vacin_max">'DESIGN INPUTS AND CALCULATIONS'!#REF!</definedName>
    <definedName name="Vacin_min">'DESIGN INPUTS AND CALCULATIONS'!#REF!</definedName>
    <definedName name="Vblk">'DESIGN INPUTS AND CALCULATIONS'!$C$32</definedName>
    <definedName name="Vblk_hu">'DESIGN INPUTS AND CALCULATIONS'!$C$35</definedName>
    <definedName name="Vblk_max">'DESIGN INPUTS AND CALCULATIONS'!$C$34</definedName>
    <definedName name="Vblk_min">'DESIGN INPUTS AND CALCULATIONS'!#REF!</definedName>
    <definedName name="Vblk_ripple">'DESIGN INPUTS AND CALCULATIONS'!#REF!</definedName>
    <definedName name="Vblk_ripple_target">'DESIGN INPUTS AND CALCULATIONS'!$C$33</definedName>
    <definedName name="Vblock_bridge">'DESIGN INPUTS AND CALCULATIONS'!#REF!</definedName>
    <definedName name="Vbulk_min">[2]CALCULATIONS!$C$10</definedName>
    <definedName name="Vbulk_valley_rcmd">[2]CALCULATIONS!$C$35</definedName>
    <definedName name="Vcr">'DESIGN INPUTS AND CALCULATIONS'!$C$119</definedName>
    <definedName name="Vdb">'DESIGN INPUTS AND CALCULATIONS'!$C$132</definedName>
    <definedName name="Vf_bridge">'DESIGN INPUTS AND CALCULATIONS'!#REF!</definedName>
    <definedName name="Vf_Dpfc">'DESIGN INPUTS AND CALCULATIONS'!#REF!</definedName>
    <definedName name="Vin_peak_max">'DESIGN INPUTS AND CALCULATIONS'!#REF!</definedName>
    <definedName name="Vin_peak_min">'DESIGN INPUTS AND CALCULATIONS'!#REF!</definedName>
    <definedName name="Vllc_cap">'DESIGN INPUTS AND CALCULATIONS'!$C$137</definedName>
    <definedName name="Vloss">'DESIGN INPUTS AND CALCULATIONS'!$C$49</definedName>
    <definedName name="Vout">'DESIGN INPUTS AND CALCULATIONS'!$C$25</definedName>
    <definedName name="Vout_max">'DESIGN INPUTS AND CALCULATIONS'!#REF!</definedName>
    <definedName name="Vout_min">'DESIGN INPUTS AND CALCULATIONS'!#REF!</definedName>
    <definedName name="Vout_pp">'DESIGN INPUTS AND CALCULATIONS'!$C$28</definedName>
    <definedName name="Vq_LLC">'DESIGN INPUTS AND CALCULATIONS'!$C$128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4" i="1" l="1"/>
  <c r="C193" i="1" l="1"/>
  <c r="C143" i="1"/>
  <c r="C142" i="1"/>
  <c r="C207" i="1" l="1"/>
  <c r="C42" i="1" l="1"/>
  <c r="C210" i="1" l="1"/>
  <c r="C40" i="1"/>
  <c r="C197" i="1" l="1"/>
  <c r="C194" i="1"/>
  <c r="C198" i="1" l="1"/>
  <c r="C195" i="1"/>
  <c r="C146" i="1"/>
  <c r="C49" i="3" l="1"/>
  <c r="C48" i="3"/>
  <c r="C47" i="3"/>
  <c r="C46" i="3"/>
  <c r="C45" i="3"/>
  <c r="C44" i="3"/>
  <c r="C43" i="3"/>
  <c r="C42" i="3"/>
  <c r="C41" i="3"/>
  <c r="C40" i="3"/>
  <c r="C39" i="3"/>
  <c r="C38" i="3"/>
  <c r="C37" i="3"/>
  <c r="C36" i="3"/>
  <c r="C230" i="1" l="1"/>
  <c r="C231" i="1" s="1"/>
  <c r="C59" i="1" l="1"/>
  <c r="C184" i="1" l="1"/>
  <c r="C151" i="1" l="1"/>
  <c r="C150" i="1"/>
  <c r="C149" i="1"/>
  <c r="C147" i="1"/>
  <c r="C209" i="1"/>
  <c r="C223" i="1"/>
  <c r="C224" i="1"/>
  <c r="C185" i="1"/>
  <c r="C165" i="1"/>
  <c r="C166" i="1"/>
  <c r="C152" i="1"/>
  <c r="C148" i="1"/>
  <c r="C154" i="1" s="1"/>
  <c r="C211" i="1" l="1"/>
  <c r="C213" i="1" s="1"/>
  <c r="C225" i="1"/>
  <c r="C227" i="1" s="1"/>
  <c r="C157" i="1"/>
  <c r="C137" i="1"/>
  <c r="C48" i="1"/>
  <c r="AB66" i="2"/>
  <c r="F66" i="2"/>
  <c r="Y67" i="2"/>
  <c r="Z67" i="2" s="1"/>
  <c r="W67" i="2"/>
  <c r="W68" i="2" s="1"/>
  <c r="W69" i="2" s="1"/>
  <c r="W70" i="2" s="1"/>
  <c r="W71" i="2" s="1"/>
  <c r="W72" i="2" s="1"/>
  <c r="W73" i="2" s="1"/>
  <c r="W74" i="2" s="1"/>
  <c r="W75" i="2" s="1"/>
  <c r="W76" i="2" s="1"/>
  <c r="W77" i="2" s="1"/>
  <c r="C67" i="2"/>
  <c r="D67" i="2" s="1"/>
  <c r="A67" i="2"/>
  <c r="B67" i="2"/>
  <c r="G67" i="2"/>
  <c r="X67" i="2"/>
  <c r="A68" i="2"/>
  <c r="B68" i="2"/>
  <c r="G68" i="2"/>
  <c r="X68" i="2"/>
  <c r="A69" i="2"/>
  <c r="B69" i="2"/>
  <c r="G69" i="2"/>
  <c r="X69" i="2"/>
  <c r="A70" i="2"/>
  <c r="B70" i="2"/>
  <c r="G70" i="2"/>
  <c r="X70" i="2"/>
  <c r="A71" i="2"/>
  <c r="B71" i="2"/>
  <c r="G71" i="2"/>
  <c r="X71" i="2"/>
  <c r="A72" i="2"/>
  <c r="B72" i="2"/>
  <c r="G72" i="2"/>
  <c r="X72" i="2"/>
  <c r="A73" i="2"/>
  <c r="B73" i="2"/>
  <c r="G73" i="2"/>
  <c r="X73" i="2"/>
  <c r="A74" i="2"/>
  <c r="B74" i="2"/>
  <c r="G74" i="2"/>
  <c r="X74" i="2"/>
  <c r="A75" i="2"/>
  <c r="B75" i="2"/>
  <c r="G75" i="2"/>
  <c r="X75" i="2"/>
  <c r="A76" i="2"/>
  <c r="B76" i="2"/>
  <c r="G76" i="2"/>
  <c r="X76" i="2"/>
  <c r="A77" i="2"/>
  <c r="B77" i="2"/>
  <c r="G77" i="2"/>
  <c r="X77" i="2"/>
  <c r="A78" i="2"/>
  <c r="B78" i="2"/>
  <c r="G78" i="2"/>
  <c r="X78" i="2"/>
  <c r="A79" i="2"/>
  <c r="B79" i="2"/>
  <c r="G79" i="2"/>
  <c r="X79" i="2"/>
  <c r="A80" i="2"/>
  <c r="B80" i="2"/>
  <c r="G80" i="2"/>
  <c r="X80" i="2"/>
  <c r="A81" i="2"/>
  <c r="B81" i="2"/>
  <c r="G81" i="2"/>
  <c r="X81" i="2"/>
  <c r="A82" i="2"/>
  <c r="B82" i="2"/>
  <c r="G82" i="2"/>
  <c r="X82" i="2"/>
  <c r="A83" i="2"/>
  <c r="B83" i="2"/>
  <c r="G83" i="2"/>
  <c r="X83" i="2"/>
  <c r="A84" i="2"/>
  <c r="B84" i="2"/>
  <c r="G84" i="2"/>
  <c r="X84" i="2"/>
  <c r="A85" i="2"/>
  <c r="B85" i="2"/>
  <c r="G85" i="2"/>
  <c r="X85" i="2"/>
  <c r="A86" i="2"/>
  <c r="B86" i="2"/>
  <c r="G86" i="2"/>
  <c r="X86" i="2"/>
  <c r="A87" i="2"/>
  <c r="B87" i="2"/>
  <c r="G87" i="2"/>
  <c r="X87" i="2"/>
  <c r="A88" i="2"/>
  <c r="B88" i="2"/>
  <c r="G88" i="2"/>
  <c r="X88" i="2"/>
  <c r="A89" i="2"/>
  <c r="B89" i="2"/>
  <c r="G89" i="2"/>
  <c r="X89" i="2"/>
  <c r="A90" i="2"/>
  <c r="B90" i="2"/>
  <c r="G90" i="2"/>
  <c r="X90" i="2"/>
  <c r="A91" i="2"/>
  <c r="B91" i="2"/>
  <c r="G91" i="2"/>
  <c r="X91" i="2"/>
  <c r="A92" i="2"/>
  <c r="B92" i="2"/>
  <c r="G92" i="2"/>
  <c r="X92" i="2"/>
  <c r="A93" i="2"/>
  <c r="B93" i="2"/>
  <c r="G93" i="2"/>
  <c r="X93" i="2"/>
  <c r="A94" i="2"/>
  <c r="B94" i="2"/>
  <c r="G94" i="2"/>
  <c r="X94" i="2"/>
  <c r="A95" i="2"/>
  <c r="B95" i="2"/>
  <c r="G95" i="2"/>
  <c r="X95" i="2"/>
  <c r="A96" i="2"/>
  <c r="B96" i="2"/>
  <c r="G96" i="2"/>
  <c r="X96" i="2"/>
  <c r="A97" i="2"/>
  <c r="B97" i="2"/>
  <c r="G97" i="2"/>
  <c r="X97" i="2"/>
  <c r="A98" i="2"/>
  <c r="B98" i="2"/>
  <c r="G98" i="2"/>
  <c r="X98" i="2"/>
  <c r="A99" i="2"/>
  <c r="B99" i="2"/>
  <c r="G99" i="2"/>
  <c r="X99" i="2"/>
  <c r="A100" i="2"/>
  <c r="B100" i="2"/>
  <c r="G100" i="2"/>
  <c r="X100" i="2"/>
  <c r="A101" i="2"/>
  <c r="B101" i="2"/>
  <c r="G101" i="2"/>
  <c r="X101" i="2"/>
  <c r="A102" i="2"/>
  <c r="B102" i="2"/>
  <c r="G102" i="2"/>
  <c r="X102" i="2"/>
  <c r="A103" i="2"/>
  <c r="B103" i="2"/>
  <c r="G103" i="2"/>
  <c r="X103" i="2"/>
  <c r="A104" i="2"/>
  <c r="B104" i="2"/>
  <c r="G104" i="2"/>
  <c r="X104" i="2"/>
  <c r="A105" i="2"/>
  <c r="B105" i="2"/>
  <c r="G105" i="2"/>
  <c r="X105" i="2"/>
  <c r="A106" i="2"/>
  <c r="B106" i="2"/>
  <c r="G106" i="2"/>
  <c r="X106" i="2"/>
  <c r="A107" i="2"/>
  <c r="B107" i="2"/>
  <c r="G107" i="2"/>
  <c r="X107" i="2"/>
  <c r="A108" i="2"/>
  <c r="B108" i="2"/>
  <c r="G108" i="2"/>
  <c r="X108" i="2"/>
  <c r="A109" i="2"/>
  <c r="B109" i="2"/>
  <c r="G109" i="2"/>
  <c r="X109" i="2"/>
  <c r="A110" i="2"/>
  <c r="B110" i="2"/>
  <c r="G110" i="2"/>
  <c r="X110" i="2"/>
  <c r="A111" i="2"/>
  <c r="B111" i="2"/>
  <c r="G111" i="2"/>
  <c r="X111" i="2"/>
  <c r="A112" i="2"/>
  <c r="B112" i="2"/>
  <c r="G112" i="2"/>
  <c r="X112" i="2"/>
  <c r="A113" i="2"/>
  <c r="B113" i="2"/>
  <c r="G113" i="2"/>
  <c r="X113" i="2"/>
  <c r="A114" i="2"/>
  <c r="B114" i="2"/>
  <c r="G114" i="2"/>
  <c r="X114" i="2"/>
  <c r="A115" i="2"/>
  <c r="B115" i="2"/>
  <c r="G115" i="2"/>
  <c r="X115" i="2"/>
  <c r="A116" i="2"/>
  <c r="B116" i="2"/>
  <c r="G116" i="2"/>
  <c r="X116" i="2"/>
  <c r="A117" i="2"/>
  <c r="B117" i="2"/>
  <c r="G117" i="2"/>
  <c r="X117" i="2"/>
  <c r="A118" i="2"/>
  <c r="B118" i="2"/>
  <c r="G118" i="2"/>
  <c r="X118" i="2"/>
  <c r="A119" i="2"/>
  <c r="B119" i="2"/>
  <c r="G119" i="2"/>
  <c r="X119" i="2"/>
  <c r="A120" i="2"/>
  <c r="B120" i="2"/>
  <c r="G120" i="2"/>
  <c r="X120" i="2"/>
  <c r="A121" i="2"/>
  <c r="B121" i="2"/>
  <c r="G121" i="2"/>
  <c r="X121" i="2"/>
  <c r="A122" i="2"/>
  <c r="B122" i="2"/>
  <c r="G122" i="2"/>
  <c r="X122" i="2"/>
  <c r="A123" i="2"/>
  <c r="B123" i="2"/>
  <c r="G123" i="2"/>
  <c r="X123" i="2"/>
  <c r="A124" i="2"/>
  <c r="B124" i="2"/>
  <c r="G124" i="2"/>
  <c r="X124" i="2"/>
  <c r="A125" i="2"/>
  <c r="B125" i="2"/>
  <c r="G125" i="2"/>
  <c r="X125" i="2"/>
  <c r="A126" i="2"/>
  <c r="B126" i="2"/>
  <c r="G126" i="2"/>
  <c r="X126" i="2"/>
  <c r="A127" i="2"/>
  <c r="B127" i="2"/>
  <c r="G127" i="2"/>
  <c r="X127" i="2"/>
  <c r="A128" i="2"/>
  <c r="B128" i="2"/>
  <c r="G128" i="2"/>
  <c r="X128" i="2"/>
  <c r="A129" i="2"/>
  <c r="B129" i="2"/>
  <c r="G129" i="2"/>
  <c r="X129" i="2"/>
  <c r="A130" i="2"/>
  <c r="B130" i="2"/>
  <c r="G130" i="2"/>
  <c r="X130" i="2"/>
  <c r="A131" i="2"/>
  <c r="B131" i="2"/>
  <c r="G131" i="2"/>
  <c r="X131" i="2"/>
  <c r="A132" i="2"/>
  <c r="B132" i="2"/>
  <c r="G132" i="2"/>
  <c r="X132" i="2"/>
  <c r="A133" i="2"/>
  <c r="B133" i="2"/>
  <c r="G133" i="2"/>
  <c r="X133" i="2"/>
  <c r="A134" i="2"/>
  <c r="B134" i="2"/>
  <c r="G134" i="2"/>
  <c r="X134" i="2"/>
  <c r="A135" i="2"/>
  <c r="B135" i="2"/>
  <c r="G135" i="2"/>
  <c r="X135" i="2"/>
  <c r="A136" i="2"/>
  <c r="B136" i="2"/>
  <c r="G136" i="2"/>
  <c r="X136" i="2"/>
  <c r="A137" i="2"/>
  <c r="B137" i="2"/>
  <c r="G137" i="2"/>
  <c r="X137" i="2"/>
  <c r="A66" i="2"/>
  <c r="C155" i="1" l="1"/>
  <c r="F67" i="2"/>
  <c r="C68" i="2"/>
  <c r="D68" i="2" s="1"/>
  <c r="E68" i="2" s="1"/>
  <c r="H67" i="2"/>
  <c r="I67" i="2" s="1"/>
  <c r="K67" i="2" s="1"/>
  <c r="AA67" i="2"/>
  <c r="Y68" i="2"/>
  <c r="AD68" i="2" s="1"/>
  <c r="AE68" i="2" s="1"/>
  <c r="AB67" i="2"/>
  <c r="AD67" i="2"/>
  <c r="AE67" i="2" s="1"/>
  <c r="W78" i="2"/>
  <c r="W79" i="2" s="1"/>
  <c r="E67" i="2"/>
  <c r="L67" i="2" l="1"/>
  <c r="N67" i="2" s="1"/>
  <c r="R67" i="2" s="1"/>
  <c r="C69" i="2"/>
  <c r="H69" i="2" s="1"/>
  <c r="I69" i="2" s="1"/>
  <c r="F68" i="2"/>
  <c r="H68" i="2"/>
  <c r="I68" i="2" s="1"/>
  <c r="K68" i="2" s="1"/>
  <c r="L68" i="2" s="1"/>
  <c r="N68" i="2" s="1"/>
  <c r="R68" i="2" s="1"/>
  <c r="C70" i="2"/>
  <c r="D69" i="2"/>
  <c r="E69" i="2" s="1"/>
  <c r="F69" i="2"/>
  <c r="AG67" i="2"/>
  <c r="AH67" i="2" s="1"/>
  <c r="AJ67" i="2" s="1"/>
  <c r="AN67" i="2" s="1"/>
  <c r="Y69" i="2"/>
  <c r="Z68" i="2"/>
  <c r="AA68" i="2" s="1"/>
  <c r="AB68" i="2"/>
  <c r="AG68" i="2" s="1"/>
  <c r="W80" i="2"/>
  <c r="K69" i="2" l="1"/>
  <c r="L69" i="2" s="1"/>
  <c r="N69" i="2" s="1"/>
  <c r="R69" i="2" s="1"/>
  <c r="AH68" i="2"/>
  <c r="AJ68" i="2" s="1"/>
  <c r="AN68" i="2" s="1"/>
  <c r="H70" i="2"/>
  <c r="I70" i="2" s="1"/>
  <c r="C71" i="2"/>
  <c r="D70" i="2"/>
  <c r="E70" i="2" s="1"/>
  <c r="F70" i="2"/>
  <c r="AB69" i="2"/>
  <c r="Z69" i="2"/>
  <c r="AA69" i="2" s="1"/>
  <c r="Y70" i="2"/>
  <c r="AD69" i="2"/>
  <c r="AE69" i="2" s="1"/>
  <c r="W81" i="2"/>
  <c r="D71" i="2" l="1"/>
  <c r="E71" i="2" s="1"/>
  <c r="F71" i="2"/>
  <c r="H71" i="2"/>
  <c r="I71" i="2" s="1"/>
  <c r="K71" i="2" s="1"/>
  <c r="C72" i="2"/>
  <c r="K70" i="2"/>
  <c r="L70" i="2" s="1"/>
  <c r="N70" i="2" s="1"/>
  <c r="R70" i="2" s="1"/>
  <c r="AG69" i="2"/>
  <c r="AH69" i="2" s="1"/>
  <c r="AJ69" i="2" s="1"/>
  <c r="AN69" i="2" s="1"/>
  <c r="AB70" i="2"/>
  <c r="AD70" i="2"/>
  <c r="AE70" i="2" s="1"/>
  <c r="Y71" i="2"/>
  <c r="Z70" i="2"/>
  <c r="AA70" i="2" s="1"/>
  <c r="W82" i="2"/>
  <c r="L71" i="2" l="1"/>
  <c r="N71" i="2" s="1"/>
  <c r="R71" i="2" s="1"/>
  <c r="C73" i="2"/>
  <c r="D72" i="2"/>
  <c r="E72" i="2" s="1"/>
  <c r="H72" i="2"/>
  <c r="I72" i="2" s="1"/>
  <c r="F72" i="2"/>
  <c r="AB71" i="2"/>
  <c r="Z71" i="2"/>
  <c r="AA71" i="2" s="1"/>
  <c r="Y72" i="2"/>
  <c r="AD71" i="2"/>
  <c r="AE71" i="2" s="1"/>
  <c r="AG70" i="2"/>
  <c r="AH70" i="2" s="1"/>
  <c r="AJ70" i="2" s="1"/>
  <c r="AN70" i="2" s="1"/>
  <c r="W83" i="2"/>
  <c r="K72" i="2" l="1"/>
  <c r="L72" i="2" s="1"/>
  <c r="N72" i="2" s="1"/>
  <c r="R72" i="2" s="1"/>
  <c r="AG71" i="2"/>
  <c r="AH71" i="2" s="1"/>
  <c r="AJ71" i="2" s="1"/>
  <c r="AN71" i="2" s="1"/>
  <c r="F73" i="2"/>
  <c r="C74" i="2"/>
  <c r="D73" i="2"/>
  <c r="E73" i="2" s="1"/>
  <c r="H73" i="2"/>
  <c r="I73" i="2" s="1"/>
  <c r="AB72" i="2"/>
  <c r="Y73" i="2"/>
  <c r="Z72" i="2"/>
  <c r="AA72" i="2" s="1"/>
  <c r="AD72" i="2"/>
  <c r="AE72" i="2" s="1"/>
  <c r="W84" i="2"/>
  <c r="K73" i="2" l="1"/>
  <c r="L73" i="2" s="1"/>
  <c r="N73" i="2" s="1"/>
  <c r="R73" i="2" s="1"/>
  <c r="AG72" i="2"/>
  <c r="AH72" i="2" s="1"/>
  <c r="AJ72" i="2" s="1"/>
  <c r="AN72" i="2" s="1"/>
  <c r="F74" i="2"/>
  <c r="H74" i="2"/>
  <c r="I74" i="2" s="1"/>
  <c r="C75" i="2"/>
  <c r="D74" i="2"/>
  <c r="E74" i="2" s="1"/>
  <c r="AB73" i="2"/>
  <c r="Z73" i="2"/>
  <c r="AA73" i="2" s="1"/>
  <c r="Y74" i="2"/>
  <c r="AD73" i="2"/>
  <c r="AE73" i="2" s="1"/>
  <c r="W85" i="2"/>
  <c r="AG73" i="2" l="1"/>
  <c r="AH73" i="2" s="1"/>
  <c r="AJ73" i="2" s="1"/>
  <c r="AN73" i="2" s="1"/>
  <c r="K74" i="2"/>
  <c r="L74" i="2" s="1"/>
  <c r="N74" i="2" s="1"/>
  <c r="R74" i="2" s="1"/>
  <c r="C76" i="2"/>
  <c r="F75" i="2"/>
  <c r="D75" i="2"/>
  <c r="E75" i="2" s="1"/>
  <c r="H75" i="2"/>
  <c r="I75" i="2" s="1"/>
  <c r="K75" i="2" s="1"/>
  <c r="AB74" i="2"/>
  <c r="Z74" i="2"/>
  <c r="AA74" i="2" s="1"/>
  <c r="Y75" i="2"/>
  <c r="AD74" i="2"/>
  <c r="AE74" i="2" s="1"/>
  <c r="W86" i="2"/>
  <c r="L75" i="2" l="1"/>
  <c r="N75" i="2" s="1"/>
  <c r="R75" i="2" s="1"/>
  <c r="AG74" i="2"/>
  <c r="AH74" i="2" s="1"/>
  <c r="AJ74" i="2" s="1"/>
  <c r="AN74" i="2" s="1"/>
  <c r="D76" i="2"/>
  <c r="E76" i="2" s="1"/>
  <c r="C77" i="2"/>
  <c r="F76" i="2"/>
  <c r="H76" i="2"/>
  <c r="I76" i="2" s="1"/>
  <c r="K76" i="2" s="1"/>
  <c r="AB75" i="2"/>
  <c r="Y76" i="2"/>
  <c r="Z75" i="2"/>
  <c r="AA75" i="2" s="1"/>
  <c r="AD75" i="2"/>
  <c r="AE75" i="2" s="1"/>
  <c r="W87" i="2"/>
  <c r="AG75" i="2" l="1"/>
  <c r="AH75" i="2" s="1"/>
  <c r="AJ75" i="2" s="1"/>
  <c r="AN75" i="2" s="1"/>
  <c r="L76" i="2"/>
  <c r="N76" i="2" s="1"/>
  <c r="R76" i="2" s="1"/>
  <c r="C78" i="2"/>
  <c r="F77" i="2"/>
  <c r="D77" i="2"/>
  <c r="E77" i="2" s="1"/>
  <c r="H77" i="2"/>
  <c r="I77" i="2" s="1"/>
  <c r="AB76" i="2"/>
  <c r="Y77" i="2"/>
  <c r="Z76" i="2"/>
  <c r="AA76" i="2" s="1"/>
  <c r="AD76" i="2"/>
  <c r="AE76" i="2" s="1"/>
  <c r="AG76" i="2" s="1"/>
  <c r="W88" i="2"/>
  <c r="K77" i="2" l="1"/>
  <c r="L77" i="2" s="1"/>
  <c r="N77" i="2" s="1"/>
  <c r="R77" i="2" s="1"/>
  <c r="AH76" i="2"/>
  <c r="AJ76" i="2" s="1"/>
  <c r="AN76" i="2" s="1"/>
  <c r="C79" i="2"/>
  <c r="F78" i="2"/>
  <c r="H78" i="2"/>
  <c r="I78" i="2" s="1"/>
  <c r="D78" i="2"/>
  <c r="E78" i="2" s="1"/>
  <c r="AB77" i="2"/>
  <c r="AD77" i="2"/>
  <c r="AE77" i="2" s="1"/>
  <c r="Z77" i="2"/>
  <c r="AA77" i="2" s="1"/>
  <c r="Y78" i="2"/>
  <c r="W89" i="2"/>
  <c r="AG77" i="2" l="1"/>
  <c r="AH77" i="2" s="1"/>
  <c r="AJ77" i="2" s="1"/>
  <c r="AN77" i="2" s="1"/>
  <c r="K78" i="2"/>
  <c r="L78" i="2" s="1"/>
  <c r="N78" i="2" s="1"/>
  <c r="R78" i="2" s="1"/>
  <c r="D79" i="2"/>
  <c r="E79" i="2" s="1"/>
  <c r="C80" i="2"/>
  <c r="F79" i="2"/>
  <c r="H79" i="2"/>
  <c r="I79" i="2" s="1"/>
  <c r="AB78" i="2"/>
  <c r="Y79" i="2"/>
  <c r="AD78" i="2"/>
  <c r="AE78" i="2" s="1"/>
  <c r="AG78" i="2" s="1"/>
  <c r="Z78" i="2"/>
  <c r="AA78" i="2" s="1"/>
  <c r="W90" i="2"/>
  <c r="AH78" i="2" l="1"/>
  <c r="AJ78" i="2" s="1"/>
  <c r="AN78" i="2" s="1"/>
  <c r="K79" i="2"/>
  <c r="L79" i="2" s="1"/>
  <c r="N79" i="2" s="1"/>
  <c r="R79" i="2" s="1"/>
  <c r="D80" i="2"/>
  <c r="E80" i="2" s="1"/>
  <c r="C81" i="2"/>
  <c r="F80" i="2"/>
  <c r="H80" i="2"/>
  <c r="I80" i="2" s="1"/>
  <c r="K80" i="2" s="1"/>
  <c r="AB79" i="2"/>
  <c r="Y80" i="2"/>
  <c r="AD79" i="2"/>
  <c r="AE79" i="2" s="1"/>
  <c r="AG79" i="2" s="1"/>
  <c r="Z79" i="2"/>
  <c r="AA79" i="2" s="1"/>
  <c r="W91" i="2"/>
  <c r="AH79" i="2" l="1"/>
  <c r="AJ79" i="2" s="1"/>
  <c r="AN79" i="2" s="1"/>
  <c r="L80" i="2"/>
  <c r="N80" i="2" s="1"/>
  <c r="R80" i="2" s="1"/>
  <c r="D81" i="2"/>
  <c r="E81" i="2" s="1"/>
  <c r="F81" i="2"/>
  <c r="H81" i="2"/>
  <c r="I81" i="2" s="1"/>
  <c r="C82" i="2"/>
  <c r="AB80" i="2"/>
  <c r="AD80" i="2"/>
  <c r="AE80" i="2" s="1"/>
  <c r="AG80" i="2" s="1"/>
  <c r="Z80" i="2"/>
  <c r="AA80" i="2" s="1"/>
  <c r="Y81" i="2"/>
  <c r="W92" i="2"/>
  <c r="AH80" i="2" l="1"/>
  <c r="AJ80" i="2" s="1"/>
  <c r="AN80" i="2" s="1"/>
  <c r="K81" i="2"/>
  <c r="L81" i="2" s="1"/>
  <c r="N81" i="2" s="1"/>
  <c r="R81" i="2" s="1"/>
  <c r="D82" i="2"/>
  <c r="E82" i="2" s="1"/>
  <c r="F82" i="2"/>
  <c r="C83" i="2"/>
  <c r="H82" i="2"/>
  <c r="I82" i="2" s="1"/>
  <c r="AB81" i="2"/>
  <c r="Y82" i="2"/>
  <c r="Z81" i="2"/>
  <c r="AA81" i="2" s="1"/>
  <c r="AD81" i="2"/>
  <c r="AE81" i="2" s="1"/>
  <c r="AG81" i="2" s="1"/>
  <c r="W93" i="2"/>
  <c r="AH81" i="2" l="1"/>
  <c r="AJ81" i="2" s="1"/>
  <c r="AN81" i="2" s="1"/>
  <c r="K82" i="2"/>
  <c r="L82" i="2" s="1"/>
  <c r="N82" i="2" s="1"/>
  <c r="R82" i="2" s="1"/>
  <c r="D83" i="2"/>
  <c r="E83" i="2" s="1"/>
  <c r="C84" i="2"/>
  <c r="F83" i="2"/>
  <c r="H83" i="2"/>
  <c r="I83" i="2" s="1"/>
  <c r="AB82" i="2"/>
  <c r="Y83" i="2"/>
  <c r="Z82" i="2"/>
  <c r="AA82" i="2" s="1"/>
  <c r="AD82" i="2"/>
  <c r="AE82" i="2" s="1"/>
  <c r="AG82" i="2" s="1"/>
  <c r="W94" i="2"/>
  <c r="AH82" i="2" l="1"/>
  <c r="AJ82" i="2" s="1"/>
  <c r="AN82" i="2" s="1"/>
  <c r="K83" i="2"/>
  <c r="L83" i="2" s="1"/>
  <c r="N83" i="2" s="1"/>
  <c r="R83" i="2" s="1"/>
  <c r="C85" i="2"/>
  <c r="F84" i="2"/>
  <c r="H84" i="2"/>
  <c r="I84" i="2" s="1"/>
  <c r="D84" i="2"/>
  <c r="E84" i="2" s="1"/>
  <c r="AB83" i="2"/>
  <c r="Y84" i="2"/>
  <c r="AD83" i="2"/>
  <c r="AE83" i="2" s="1"/>
  <c r="AG83" i="2" s="1"/>
  <c r="Z83" i="2"/>
  <c r="AA83" i="2" s="1"/>
  <c r="W95" i="2"/>
  <c r="AH83" i="2" l="1"/>
  <c r="AJ83" i="2" s="1"/>
  <c r="AN83" i="2" s="1"/>
  <c r="K84" i="2"/>
  <c r="L84" i="2" s="1"/>
  <c r="N84" i="2" s="1"/>
  <c r="R84" i="2" s="1"/>
  <c r="D85" i="2"/>
  <c r="E85" i="2" s="1"/>
  <c r="F85" i="2"/>
  <c r="C86" i="2"/>
  <c r="H85" i="2"/>
  <c r="I85" i="2" s="1"/>
  <c r="AB84" i="2"/>
  <c r="Z84" i="2"/>
  <c r="AA84" i="2" s="1"/>
  <c r="AD84" i="2"/>
  <c r="AE84" i="2" s="1"/>
  <c r="Y85" i="2"/>
  <c r="W96" i="2"/>
  <c r="K85" i="2" l="1"/>
  <c r="L85" i="2" s="1"/>
  <c r="N85" i="2" s="1"/>
  <c r="R85" i="2" s="1"/>
  <c r="AG84" i="2"/>
  <c r="AH84" i="2" s="1"/>
  <c r="AJ84" i="2" s="1"/>
  <c r="AN84" i="2" s="1"/>
  <c r="C87" i="2"/>
  <c r="F86" i="2"/>
  <c r="H86" i="2"/>
  <c r="I86" i="2" s="1"/>
  <c r="D86" i="2"/>
  <c r="E86" i="2" s="1"/>
  <c r="AB85" i="2"/>
  <c r="Y86" i="2"/>
  <c r="Z85" i="2"/>
  <c r="AA85" i="2" s="1"/>
  <c r="AD85" i="2"/>
  <c r="AE85" i="2" s="1"/>
  <c r="AG85" i="2" s="1"/>
  <c r="W97" i="2"/>
  <c r="AH85" i="2" l="1"/>
  <c r="AJ85" i="2" s="1"/>
  <c r="AN85" i="2" s="1"/>
  <c r="K86" i="2"/>
  <c r="L86" i="2" s="1"/>
  <c r="N86" i="2" s="1"/>
  <c r="R86" i="2" s="1"/>
  <c r="F87" i="2"/>
  <c r="C88" i="2"/>
  <c r="D87" i="2"/>
  <c r="E87" i="2" s="1"/>
  <c r="H87" i="2"/>
  <c r="I87" i="2" s="1"/>
  <c r="AB86" i="2"/>
  <c r="Y87" i="2"/>
  <c r="Z86" i="2"/>
  <c r="AA86" i="2" s="1"/>
  <c r="AD86" i="2"/>
  <c r="AE86" i="2" s="1"/>
  <c r="AG86" i="2" s="1"/>
  <c r="W98" i="2"/>
  <c r="AH86" i="2" l="1"/>
  <c r="AJ86" i="2" s="1"/>
  <c r="AN86" i="2" s="1"/>
  <c r="K87" i="2"/>
  <c r="L87" i="2" s="1"/>
  <c r="N87" i="2" s="1"/>
  <c r="R87" i="2" s="1"/>
  <c r="H88" i="2"/>
  <c r="I88" i="2" s="1"/>
  <c r="D88" i="2"/>
  <c r="E88" i="2" s="1"/>
  <c r="C89" i="2"/>
  <c r="F88" i="2"/>
  <c r="AB87" i="2"/>
  <c r="Y88" i="2"/>
  <c r="Z87" i="2"/>
  <c r="AA87" i="2" s="1"/>
  <c r="AD87" i="2"/>
  <c r="AE87" i="2" s="1"/>
  <c r="AG87" i="2" s="1"/>
  <c r="W99" i="2"/>
  <c r="AH87" i="2" l="1"/>
  <c r="AJ87" i="2" s="1"/>
  <c r="AN87" i="2" s="1"/>
  <c r="K88" i="2"/>
  <c r="L88" i="2" s="1"/>
  <c r="N88" i="2" s="1"/>
  <c r="R88" i="2" s="1"/>
  <c r="F89" i="2"/>
  <c r="C90" i="2"/>
  <c r="D89" i="2"/>
  <c r="E89" i="2" s="1"/>
  <c r="H89" i="2"/>
  <c r="I89" i="2" s="1"/>
  <c r="AB88" i="2"/>
  <c r="Y89" i="2"/>
  <c r="Z88" i="2"/>
  <c r="AA88" i="2" s="1"/>
  <c r="AD88" i="2"/>
  <c r="AE88" i="2" s="1"/>
  <c r="AG88" i="2" s="1"/>
  <c r="W100" i="2"/>
  <c r="AH88" i="2" l="1"/>
  <c r="AJ88" i="2" s="1"/>
  <c r="AN88" i="2" s="1"/>
  <c r="K89" i="2"/>
  <c r="L89" i="2" s="1"/>
  <c r="N89" i="2" s="1"/>
  <c r="R89" i="2" s="1"/>
  <c r="D90" i="2"/>
  <c r="E90" i="2" s="1"/>
  <c r="C91" i="2"/>
  <c r="F90" i="2"/>
  <c r="H90" i="2"/>
  <c r="I90" i="2" s="1"/>
  <c r="K90" i="2" s="1"/>
  <c r="AB89" i="2"/>
  <c r="Y90" i="2"/>
  <c r="Z89" i="2"/>
  <c r="AA89" i="2" s="1"/>
  <c r="AD89" i="2"/>
  <c r="AE89" i="2" s="1"/>
  <c r="AG89" i="2" s="1"/>
  <c r="W101" i="2"/>
  <c r="AH89" i="2" l="1"/>
  <c r="AJ89" i="2" s="1"/>
  <c r="AN89" i="2" s="1"/>
  <c r="L90" i="2"/>
  <c r="N90" i="2" s="1"/>
  <c r="R90" i="2" s="1"/>
  <c r="F91" i="2"/>
  <c r="H91" i="2"/>
  <c r="I91" i="2" s="1"/>
  <c r="K91" i="2" s="1"/>
  <c r="C92" i="2"/>
  <c r="D91" i="2"/>
  <c r="E91" i="2" s="1"/>
  <c r="AB90" i="2"/>
  <c r="Z90" i="2"/>
  <c r="AA90" i="2" s="1"/>
  <c r="AD90" i="2"/>
  <c r="AE90" i="2" s="1"/>
  <c r="AG90" i="2" s="1"/>
  <c r="Y91" i="2"/>
  <c r="W102" i="2"/>
  <c r="AH90" i="2" l="1"/>
  <c r="AJ90" i="2" s="1"/>
  <c r="AN90" i="2" s="1"/>
  <c r="L91" i="2"/>
  <c r="N91" i="2" s="1"/>
  <c r="R91" i="2" s="1"/>
  <c r="C93" i="2"/>
  <c r="D92" i="2"/>
  <c r="E92" i="2" s="1"/>
  <c r="F92" i="2"/>
  <c r="H92" i="2"/>
  <c r="I92" i="2" s="1"/>
  <c r="K92" i="2" s="1"/>
  <c r="AB91" i="2"/>
  <c r="Y92" i="2"/>
  <c r="Z91" i="2"/>
  <c r="AA91" i="2" s="1"/>
  <c r="AD91" i="2"/>
  <c r="AE91" i="2" s="1"/>
  <c r="AG91" i="2" s="1"/>
  <c r="W103" i="2"/>
  <c r="AH91" i="2" l="1"/>
  <c r="AJ91" i="2" s="1"/>
  <c r="AN91" i="2" s="1"/>
  <c r="L92" i="2"/>
  <c r="N92" i="2" s="1"/>
  <c r="R92" i="2" s="1"/>
  <c r="F93" i="2"/>
  <c r="D93" i="2"/>
  <c r="E93" i="2" s="1"/>
  <c r="H93" i="2"/>
  <c r="I93" i="2" s="1"/>
  <c r="K93" i="2" s="1"/>
  <c r="C94" i="2"/>
  <c r="AB92" i="2"/>
  <c r="Y93" i="2"/>
  <c r="AD92" i="2"/>
  <c r="AE92" i="2" s="1"/>
  <c r="AG92" i="2" s="1"/>
  <c r="Z92" i="2"/>
  <c r="AA92" i="2" s="1"/>
  <c r="W104" i="2"/>
  <c r="L93" i="2" l="1"/>
  <c r="N93" i="2" s="1"/>
  <c r="R93" i="2" s="1"/>
  <c r="AH92" i="2"/>
  <c r="AJ92" i="2" s="1"/>
  <c r="AN92" i="2" s="1"/>
  <c r="C95" i="2"/>
  <c r="H94" i="2"/>
  <c r="I94" i="2" s="1"/>
  <c r="D94" i="2"/>
  <c r="E94" i="2" s="1"/>
  <c r="F94" i="2"/>
  <c r="AB93" i="2"/>
  <c r="Y94" i="2"/>
  <c r="Z93" i="2"/>
  <c r="AA93" i="2" s="1"/>
  <c r="AD93" i="2"/>
  <c r="AE93" i="2" s="1"/>
  <c r="AG93" i="2" s="1"/>
  <c r="W105" i="2"/>
  <c r="K94" i="2" l="1"/>
  <c r="L94" i="2" s="1"/>
  <c r="N94" i="2" s="1"/>
  <c r="R94" i="2" s="1"/>
  <c r="AH93" i="2"/>
  <c r="AJ93" i="2" s="1"/>
  <c r="AN93" i="2" s="1"/>
  <c r="F95" i="2"/>
  <c r="D95" i="2"/>
  <c r="E95" i="2" s="1"/>
  <c r="C96" i="2"/>
  <c r="H95" i="2"/>
  <c r="I95" i="2" s="1"/>
  <c r="AB94" i="2"/>
  <c r="Z94" i="2"/>
  <c r="AA94" i="2" s="1"/>
  <c r="Y95" i="2"/>
  <c r="AD94" i="2"/>
  <c r="AE94" i="2" s="1"/>
  <c r="AG94" i="2" s="1"/>
  <c r="W106" i="2"/>
  <c r="AH94" i="2" l="1"/>
  <c r="AJ94" i="2" s="1"/>
  <c r="AN94" i="2" s="1"/>
  <c r="K95" i="2"/>
  <c r="L95" i="2" s="1"/>
  <c r="N95" i="2" s="1"/>
  <c r="R95" i="2" s="1"/>
  <c r="F96" i="2"/>
  <c r="D96" i="2"/>
  <c r="E96" i="2" s="1"/>
  <c r="C97" i="2"/>
  <c r="H96" i="2"/>
  <c r="I96" i="2" s="1"/>
  <c r="K96" i="2" s="1"/>
  <c r="AB95" i="2"/>
  <c r="Z95" i="2"/>
  <c r="AA95" i="2" s="1"/>
  <c r="Y96" i="2"/>
  <c r="AD95" i="2"/>
  <c r="AE95" i="2" s="1"/>
  <c r="AG95" i="2" s="1"/>
  <c r="W107" i="2"/>
  <c r="AH95" i="2" l="1"/>
  <c r="AJ95" i="2" s="1"/>
  <c r="AN95" i="2" s="1"/>
  <c r="L96" i="2"/>
  <c r="N96" i="2" s="1"/>
  <c r="R96" i="2" s="1"/>
  <c r="C98" i="2"/>
  <c r="D97" i="2"/>
  <c r="E97" i="2" s="1"/>
  <c r="H97" i="2"/>
  <c r="I97" i="2" s="1"/>
  <c r="F97" i="2"/>
  <c r="AB96" i="2"/>
  <c r="Z96" i="2"/>
  <c r="AA96" i="2" s="1"/>
  <c r="Y97" i="2"/>
  <c r="AD96" i="2"/>
  <c r="AE96" i="2" s="1"/>
  <c r="AG96" i="2" s="1"/>
  <c r="W108" i="2"/>
  <c r="AH96" i="2" l="1"/>
  <c r="AJ96" i="2" s="1"/>
  <c r="AN96" i="2" s="1"/>
  <c r="K97" i="2"/>
  <c r="L97" i="2" s="1"/>
  <c r="N97" i="2" s="1"/>
  <c r="R97" i="2" s="1"/>
  <c r="D98" i="2"/>
  <c r="E98" i="2" s="1"/>
  <c r="C99" i="2"/>
  <c r="F98" i="2"/>
  <c r="H98" i="2"/>
  <c r="I98" i="2" s="1"/>
  <c r="K98" i="2" s="1"/>
  <c r="AB97" i="2"/>
  <c r="Z97" i="2"/>
  <c r="AA97" i="2" s="1"/>
  <c r="AD97" i="2"/>
  <c r="AE97" i="2" s="1"/>
  <c r="AG97" i="2" s="1"/>
  <c r="Y98" i="2"/>
  <c r="W109" i="2"/>
  <c r="AH97" i="2" l="1"/>
  <c r="AJ97" i="2" s="1"/>
  <c r="AN97" i="2" s="1"/>
  <c r="L98" i="2"/>
  <c r="N98" i="2" s="1"/>
  <c r="R98" i="2" s="1"/>
  <c r="D99" i="2"/>
  <c r="E99" i="2" s="1"/>
  <c r="H99" i="2"/>
  <c r="I99" i="2" s="1"/>
  <c r="C100" i="2"/>
  <c r="F99" i="2"/>
  <c r="AB98" i="2"/>
  <c r="Y99" i="2"/>
  <c r="Z98" i="2"/>
  <c r="AA98" i="2" s="1"/>
  <c r="AD98" i="2"/>
  <c r="AE98" i="2" s="1"/>
  <c r="W110" i="2"/>
  <c r="K99" i="2" l="1"/>
  <c r="L99" i="2" s="1"/>
  <c r="N99" i="2" s="1"/>
  <c r="R99" i="2" s="1"/>
  <c r="F100" i="2"/>
  <c r="D100" i="2"/>
  <c r="E100" i="2" s="1"/>
  <c r="H100" i="2"/>
  <c r="I100" i="2" s="1"/>
  <c r="K100" i="2" s="1"/>
  <c r="C101" i="2"/>
  <c r="AG98" i="2"/>
  <c r="AH98" i="2" s="1"/>
  <c r="AJ98" i="2" s="1"/>
  <c r="AN98" i="2" s="1"/>
  <c r="AB99" i="2"/>
  <c r="Y100" i="2"/>
  <c r="Z99" i="2"/>
  <c r="AA99" i="2" s="1"/>
  <c r="AD99" i="2"/>
  <c r="AE99" i="2" s="1"/>
  <c r="W111" i="2"/>
  <c r="L100" i="2" l="1"/>
  <c r="N100" i="2" s="1"/>
  <c r="R100" i="2" s="1"/>
  <c r="D101" i="2"/>
  <c r="E101" i="2" s="1"/>
  <c r="H101" i="2"/>
  <c r="I101" i="2" s="1"/>
  <c r="F101" i="2"/>
  <c r="C102" i="2"/>
  <c r="AG99" i="2"/>
  <c r="AH99" i="2" s="1"/>
  <c r="AJ99" i="2" s="1"/>
  <c r="AN99" i="2" s="1"/>
  <c r="AB100" i="2"/>
  <c r="Y101" i="2"/>
  <c r="AD100" i="2"/>
  <c r="AE100" i="2" s="1"/>
  <c r="Z100" i="2"/>
  <c r="AA100" i="2" s="1"/>
  <c r="W112" i="2"/>
  <c r="K101" i="2" l="1"/>
  <c r="L101" i="2" s="1"/>
  <c r="N101" i="2" s="1"/>
  <c r="R101" i="2" s="1"/>
  <c r="C103" i="2"/>
  <c r="F102" i="2"/>
  <c r="D102" i="2"/>
  <c r="E102" i="2" s="1"/>
  <c r="H102" i="2"/>
  <c r="I102" i="2" s="1"/>
  <c r="K102" i="2" s="1"/>
  <c r="AG100" i="2"/>
  <c r="AH100" i="2" s="1"/>
  <c r="AJ100" i="2" s="1"/>
  <c r="AN100" i="2" s="1"/>
  <c r="AB101" i="2"/>
  <c r="Z101" i="2"/>
  <c r="AA101" i="2" s="1"/>
  <c r="Y102" i="2"/>
  <c r="AD101" i="2"/>
  <c r="AE101" i="2" s="1"/>
  <c r="W113" i="2"/>
  <c r="L102" i="2" l="1"/>
  <c r="N102" i="2" s="1"/>
  <c r="R102" i="2" s="1"/>
  <c r="AG101" i="2"/>
  <c r="AH101" i="2" s="1"/>
  <c r="AJ101" i="2" s="1"/>
  <c r="AN101" i="2" s="1"/>
  <c r="D103" i="2"/>
  <c r="E103" i="2" s="1"/>
  <c r="C104" i="2"/>
  <c r="H103" i="2"/>
  <c r="I103" i="2" s="1"/>
  <c r="F103" i="2"/>
  <c r="AB102" i="2"/>
  <c r="AD102" i="2"/>
  <c r="AE102" i="2" s="1"/>
  <c r="AG102" i="2" s="1"/>
  <c r="Y103" i="2"/>
  <c r="Z102" i="2"/>
  <c r="AA102" i="2" s="1"/>
  <c r="W114" i="2"/>
  <c r="AH102" i="2" l="1"/>
  <c r="AJ102" i="2" s="1"/>
  <c r="AN102" i="2" s="1"/>
  <c r="K103" i="2"/>
  <c r="L103" i="2" s="1"/>
  <c r="N103" i="2" s="1"/>
  <c r="R103" i="2" s="1"/>
  <c r="C105" i="2"/>
  <c r="F104" i="2"/>
  <c r="H104" i="2"/>
  <c r="I104" i="2" s="1"/>
  <c r="K104" i="2" s="1"/>
  <c r="D104" i="2"/>
  <c r="E104" i="2" s="1"/>
  <c r="AB103" i="2"/>
  <c r="Y104" i="2"/>
  <c r="AD103" i="2"/>
  <c r="AE103" i="2" s="1"/>
  <c r="Z103" i="2"/>
  <c r="AA103" i="2" s="1"/>
  <c r="W115" i="2"/>
  <c r="L104" i="2" l="1"/>
  <c r="N104" i="2" s="1"/>
  <c r="R104" i="2" s="1"/>
  <c r="AG103" i="2"/>
  <c r="AH103" i="2" s="1"/>
  <c r="AJ103" i="2" s="1"/>
  <c r="AN103" i="2" s="1"/>
  <c r="D105" i="2"/>
  <c r="E105" i="2" s="1"/>
  <c r="F105" i="2"/>
  <c r="C106" i="2"/>
  <c r="H105" i="2"/>
  <c r="I105" i="2" s="1"/>
  <c r="AB104" i="2"/>
  <c r="Z104" i="2"/>
  <c r="AA104" i="2" s="1"/>
  <c r="Y105" i="2"/>
  <c r="AD104" i="2"/>
  <c r="AE104" i="2" s="1"/>
  <c r="W116" i="2"/>
  <c r="K105" i="2" l="1"/>
  <c r="L105" i="2" s="1"/>
  <c r="N105" i="2" s="1"/>
  <c r="R105" i="2" s="1"/>
  <c r="F106" i="2"/>
  <c r="H106" i="2"/>
  <c r="I106" i="2" s="1"/>
  <c r="D106" i="2"/>
  <c r="E106" i="2" s="1"/>
  <c r="C107" i="2"/>
  <c r="AG104" i="2"/>
  <c r="AH104" i="2" s="1"/>
  <c r="AJ104" i="2" s="1"/>
  <c r="AN104" i="2" s="1"/>
  <c r="AB105" i="2"/>
  <c r="Z105" i="2"/>
  <c r="AA105" i="2" s="1"/>
  <c r="AD105" i="2"/>
  <c r="AE105" i="2" s="1"/>
  <c r="Y106" i="2"/>
  <c r="W117" i="2"/>
  <c r="K106" i="2" l="1"/>
  <c r="L106" i="2" s="1"/>
  <c r="N106" i="2" s="1"/>
  <c r="R106" i="2" s="1"/>
  <c r="F107" i="2"/>
  <c r="D107" i="2"/>
  <c r="E107" i="2" s="1"/>
  <c r="H107" i="2"/>
  <c r="I107" i="2" s="1"/>
  <c r="K107" i="2" s="1"/>
  <c r="C108" i="2"/>
  <c r="AG105" i="2"/>
  <c r="AH105" i="2" s="1"/>
  <c r="AJ105" i="2" s="1"/>
  <c r="AN105" i="2" s="1"/>
  <c r="AB106" i="2"/>
  <c r="Z106" i="2"/>
  <c r="AA106" i="2" s="1"/>
  <c r="AD106" i="2"/>
  <c r="AE106" i="2" s="1"/>
  <c r="Y107" i="2"/>
  <c r="W118" i="2"/>
  <c r="L107" i="2" l="1"/>
  <c r="N107" i="2" s="1"/>
  <c r="R107" i="2" s="1"/>
  <c r="D108" i="2"/>
  <c r="E108" i="2" s="1"/>
  <c r="C109" i="2"/>
  <c r="F108" i="2"/>
  <c r="H108" i="2"/>
  <c r="I108" i="2" s="1"/>
  <c r="AG106" i="2"/>
  <c r="AH106" i="2" s="1"/>
  <c r="AJ106" i="2" s="1"/>
  <c r="AN106" i="2" s="1"/>
  <c r="AB107" i="2"/>
  <c r="Z107" i="2"/>
  <c r="AA107" i="2" s="1"/>
  <c r="Y108" i="2"/>
  <c r="AD107" i="2"/>
  <c r="AE107" i="2" s="1"/>
  <c r="W119" i="2"/>
  <c r="K108" i="2" l="1"/>
  <c r="L108" i="2" s="1"/>
  <c r="N108" i="2" s="1"/>
  <c r="R108" i="2" s="1"/>
  <c r="F109" i="2"/>
  <c r="C110" i="2"/>
  <c r="D109" i="2"/>
  <c r="E109" i="2" s="1"/>
  <c r="H109" i="2"/>
  <c r="I109" i="2" s="1"/>
  <c r="K109" i="2" s="1"/>
  <c r="AG107" i="2"/>
  <c r="AH107" i="2" s="1"/>
  <c r="AJ107" i="2" s="1"/>
  <c r="AN107" i="2" s="1"/>
  <c r="AB108" i="2"/>
  <c r="Y109" i="2"/>
  <c r="AD108" i="2"/>
  <c r="AE108" i="2" s="1"/>
  <c r="Z108" i="2"/>
  <c r="AA108" i="2" s="1"/>
  <c r="W120" i="2"/>
  <c r="L109" i="2" l="1"/>
  <c r="N109" i="2" s="1"/>
  <c r="R109" i="2" s="1"/>
  <c r="C111" i="2"/>
  <c r="F110" i="2"/>
  <c r="D110" i="2"/>
  <c r="E110" i="2" s="1"/>
  <c r="H110" i="2"/>
  <c r="I110" i="2" s="1"/>
  <c r="AG108" i="2"/>
  <c r="AH108" i="2" s="1"/>
  <c r="AJ108" i="2" s="1"/>
  <c r="AN108" i="2" s="1"/>
  <c r="AB109" i="2"/>
  <c r="Y110" i="2"/>
  <c r="Z109" i="2"/>
  <c r="AA109" i="2" s="1"/>
  <c r="AD109" i="2"/>
  <c r="AE109" i="2" s="1"/>
  <c r="W121" i="2"/>
  <c r="K110" i="2" l="1"/>
  <c r="L110" i="2" s="1"/>
  <c r="N110" i="2" s="1"/>
  <c r="R110" i="2" s="1"/>
  <c r="AG109" i="2"/>
  <c r="AH109" i="2" s="1"/>
  <c r="AJ109" i="2" s="1"/>
  <c r="AN109" i="2" s="1"/>
  <c r="H111" i="2"/>
  <c r="I111" i="2" s="1"/>
  <c r="D111" i="2"/>
  <c r="E111" i="2" s="1"/>
  <c r="C112" i="2"/>
  <c r="F111" i="2"/>
  <c r="AB110" i="2"/>
  <c r="Y111" i="2"/>
  <c r="Z110" i="2"/>
  <c r="AA110" i="2" s="1"/>
  <c r="AD110" i="2"/>
  <c r="AE110" i="2" s="1"/>
  <c r="AG110" i="2" s="1"/>
  <c r="W122" i="2"/>
  <c r="AH110" i="2" l="1"/>
  <c r="AJ110" i="2" s="1"/>
  <c r="AN110" i="2" s="1"/>
  <c r="K111" i="2"/>
  <c r="L111" i="2" s="1"/>
  <c r="N111" i="2" s="1"/>
  <c r="R111" i="2" s="1"/>
  <c r="F112" i="2"/>
  <c r="C113" i="2"/>
  <c r="D112" i="2"/>
  <c r="E112" i="2" s="1"/>
  <c r="H112" i="2"/>
  <c r="I112" i="2" s="1"/>
  <c r="K112" i="2" s="1"/>
  <c r="AB111" i="2"/>
  <c r="Y112" i="2"/>
  <c r="Z111" i="2"/>
  <c r="AA111" i="2" s="1"/>
  <c r="AD111" i="2"/>
  <c r="AE111" i="2" s="1"/>
  <c r="AG111" i="2" s="1"/>
  <c r="W123" i="2"/>
  <c r="L112" i="2" l="1"/>
  <c r="N112" i="2" s="1"/>
  <c r="R112" i="2" s="1"/>
  <c r="AH111" i="2"/>
  <c r="AJ111" i="2" s="1"/>
  <c r="AN111" i="2" s="1"/>
  <c r="F113" i="2"/>
  <c r="H113" i="2"/>
  <c r="I113" i="2" s="1"/>
  <c r="K113" i="2" s="1"/>
  <c r="C114" i="2"/>
  <c r="D113" i="2"/>
  <c r="E113" i="2" s="1"/>
  <c r="AB112" i="2"/>
  <c r="Z112" i="2"/>
  <c r="AA112" i="2" s="1"/>
  <c r="Y113" i="2"/>
  <c r="AD112" i="2"/>
  <c r="AE112" i="2" s="1"/>
  <c r="W124" i="2"/>
  <c r="L113" i="2" l="1"/>
  <c r="N113" i="2" s="1"/>
  <c r="R113" i="2" s="1"/>
  <c r="C115" i="2"/>
  <c r="F114" i="2"/>
  <c r="H114" i="2"/>
  <c r="I114" i="2" s="1"/>
  <c r="K114" i="2" s="1"/>
  <c r="D114" i="2"/>
  <c r="E114" i="2" s="1"/>
  <c r="AG112" i="2"/>
  <c r="AH112" i="2" s="1"/>
  <c r="AJ112" i="2" s="1"/>
  <c r="AN112" i="2" s="1"/>
  <c r="AB113" i="2"/>
  <c r="Y114" i="2"/>
  <c r="AD113" i="2"/>
  <c r="AE113" i="2" s="1"/>
  <c r="Z113" i="2"/>
  <c r="AA113" i="2" s="1"/>
  <c r="W125" i="2"/>
  <c r="L114" i="2" l="1"/>
  <c r="N114" i="2" s="1"/>
  <c r="R114" i="2" s="1"/>
  <c r="AG113" i="2"/>
  <c r="AH113" i="2" s="1"/>
  <c r="AJ113" i="2" s="1"/>
  <c r="AN113" i="2" s="1"/>
  <c r="F115" i="2"/>
  <c r="C116" i="2"/>
  <c r="D115" i="2"/>
  <c r="E115" i="2" s="1"/>
  <c r="H115" i="2"/>
  <c r="I115" i="2" s="1"/>
  <c r="AB114" i="2"/>
  <c r="Z114" i="2"/>
  <c r="AA114" i="2" s="1"/>
  <c r="Y115" i="2"/>
  <c r="AD114" i="2"/>
  <c r="AE114" i="2" s="1"/>
  <c r="W126" i="2"/>
  <c r="K115" i="2" l="1"/>
  <c r="L115" i="2" s="1"/>
  <c r="N115" i="2" s="1"/>
  <c r="R115" i="2" s="1"/>
  <c r="AG114" i="2"/>
  <c r="AH114" i="2" s="1"/>
  <c r="AJ114" i="2" s="1"/>
  <c r="AN114" i="2" s="1"/>
  <c r="C117" i="2"/>
  <c r="F116" i="2"/>
  <c r="H116" i="2"/>
  <c r="I116" i="2" s="1"/>
  <c r="K116" i="2" s="1"/>
  <c r="D116" i="2"/>
  <c r="E116" i="2" s="1"/>
  <c r="AB115" i="2"/>
  <c r="Z115" i="2"/>
  <c r="AA115" i="2" s="1"/>
  <c r="AD115" i="2"/>
  <c r="AE115" i="2" s="1"/>
  <c r="AG115" i="2" s="1"/>
  <c r="Y116" i="2"/>
  <c r="W127" i="2"/>
  <c r="AH115" i="2" l="1"/>
  <c r="AJ115" i="2" s="1"/>
  <c r="AN115" i="2" s="1"/>
  <c r="L116" i="2"/>
  <c r="N116" i="2" s="1"/>
  <c r="R116" i="2" s="1"/>
  <c r="D117" i="2"/>
  <c r="E117" i="2" s="1"/>
  <c r="C118" i="2"/>
  <c r="F117" i="2"/>
  <c r="H117" i="2"/>
  <c r="I117" i="2" s="1"/>
  <c r="K117" i="2" s="1"/>
  <c r="AB116" i="2"/>
  <c r="Z116" i="2"/>
  <c r="AA116" i="2" s="1"/>
  <c r="Y117" i="2"/>
  <c r="AD116" i="2"/>
  <c r="AE116" i="2" s="1"/>
  <c r="AG116" i="2" s="1"/>
  <c r="W128" i="2"/>
  <c r="AH116" i="2" l="1"/>
  <c r="AJ116" i="2" s="1"/>
  <c r="AN116" i="2" s="1"/>
  <c r="L117" i="2"/>
  <c r="N117" i="2" s="1"/>
  <c r="R117" i="2" s="1"/>
  <c r="H118" i="2"/>
  <c r="I118" i="2" s="1"/>
  <c r="C119" i="2"/>
  <c r="D118" i="2"/>
  <c r="E118" i="2" s="1"/>
  <c r="F118" i="2"/>
  <c r="AB117" i="2"/>
  <c r="Y118" i="2"/>
  <c r="Z117" i="2"/>
  <c r="AA117" i="2" s="1"/>
  <c r="AD117" i="2"/>
  <c r="AE117" i="2" s="1"/>
  <c r="AG117" i="2" s="1"/>
  <c r="W129" i="2"/>
  <c r="AH117" i="2" l="1"/>
  <c r="AJ117" i="2" s="1"/>
  <c r="AN117" i="2" s="1"/>
  <c r="K118" i="2"/>
  <c r="L118" i="2" s="1"/>
  <c r="N118" i="2" s="1"/>
  <c r="R118" i="2" s="1"/>
  <c r="C120" i="2"/>
  <c r="D119" i="2"/>
  <c r="E119" i="2" s="1"/>
  <c r="F119" i="2"/>
  <c r="H119" i="2"/>
  <c r="I119" i="2" s="1"/>
  <c r="K119" i="2" s="1"/>
  <c r="AB118" i="2"/>
  <c r="Z118" i="2"/>
  <c r="AA118" i="2" s="1"/>
  <c r="AD118" i="2"/>
  <c r="AE118" i="2" s="1"/>
  <c r="AG118" i="2" s="1"/>
  <c r="Y119" i="2"/>
  <c r="W130" i="2"/>
  <c r="AH118" i="2" l="1"/>
  <c r="AJ118" i="2" s="1"/>
  <c r="AN118" i="2" s="1"/>
  <c r="L119" i="2"/>
  <c r="N119" i="2" s="1"/>
  <c r="R119" i="2" s="1"/>
  <c r="F120" i="2"/>
  <c r="C121" i="2"/>
  <c r="H120" i="2"/>
  <c r="I120" i="2" s="1"/>
  <c r="D120" i="2"/>
  <c r="E120" i="2" s="1"/>
  <c r="AB119" i="2"/>
  <c r="Z119" i="2"/>
  <c r="AA119" i="2" s="1"/>
  <c r="Y120" i="2"/>
  <c r="AD119" i="2"/>
  <c r="AE119" i="2" s="1"/>
  <c r="AG119" i="2" s="1"/>
  <c r="W131" i="2"/>
  <c r="G66" i="2"/>
  <c r="AH119" i="2" l="1"/>
  <c r="AJ119" i="2" s="1"/>
  <c r="AN119" i="2" s="1"/>
  <c r="K120" i="2"/>
  <c r="L120" i="2" s="1"/>
  <c r="N120" i="2" s="1"/>
  <c r="R120" i="2" s="1"/>
  <c r="D121" i="2"/>
  <c r="E121" i="2" s="1"/>
  <c r="C122" i="2"/>
  <c r="F121" i="2"/>
  <c r="H121" i="2"/>
  <c r="I121" i="2" s="1"/>
  <c r="K121" i="2" s="1"/>
  <c r="AB120" i="2"/>
  <c r="Z120" i="2"/>
  <c r="AA120" i="2" s="1"/>
  <c r="AD120" i="2"/>
  <c r="AE120" i="2" s="1"/>
  <c r="AG120" i="2" s="1"/>
  <c r="Y121" i="2"/>
  <c r="W132" i="2"/>
  <c r="AH120" i="2" l="1"/>
  <c r="AJ120" i="2" s="1"/>
  <c r="AN120" i="2" s="1"/>
  <c r="L121" i="2"/>
  <c r="N121" i="2" s="1"/>
  <c r="R121" i="2" s="1"/>
  <c r="D122" i="2"/>
  <c r="E122" i="2" s="1"/>
  <c r="F122" i="2"/>
  <c r="C123" i="2"/>
  <c r="H122" i="2"/>
  <c r="I122" i="2" s="1"/>
  <c r="AB121" i="2"/>
  <c r="Z121" i="2"/>
  <c r="AA121" i="2" s="1"/>
  <c r="Y122" i="2"/>
  <c r="AD121" i="2"/>
  <c r="AE121" i="2" s="1"/>
  <c r="W133" i="2"/>
  <c r="K122" i="2" l="1"/>
  <c r="L122" i="2" s="1"/>
  <c r="N122" i="2" s="1"/>
  <c r="R122" i="2" s="1"/>
  <c r="AG121" i="2"/>
  <c r="AH121" i="2" s="1"/>
  <c r="AJ121" i="2" s="1"/>
  <c r="AN121" i="2" s="1"/>
  <c r="F123" i="2"/>
  <c r="D123" i="2"/>
  <c r="E123" i="2" s="1"/>
  <c r="H123" i="2"/>
  <c r="I123" i="2" s="1"/>
  <c r="C124" i="2"/>
  <c r="AB122" i="2"/>
  <c r="Z122" i="2"/>
  <c r="AA122" i="2" s="1"/>
  <c r="Y123" i="2"/>
  <c r="AD122" i="2"/>
  <c r="AE122" i="2" s="1"/>
  <c r="W134" i="2"/>
  <c r="AG122" i="2" l="1"/>
  <c r="AH122" i="2" s="1"/>
  <c r="AJ122" i="2" s="1"/>
  <c r="AN122" i="2" s="1"/>
  <c r="F124" i="2"/>
  <c r="C125" i="2"/>
  <c r="D124" i="2"/>
  <c r="E124" i="2" s="1"/>
  <c r="H124" i="2"/>
  <c r="I124" i="2" s="1"/>
  <c r="K123" i="2"/>
  <c r="L123" i="2" s="1"/>
  <c r="N123" i="2" s="1"/>
  <c r="R123" i="2" s="1"/>
  <c r="AB123" i="2"/>
  <c r="Z123" i="2"/>
  <c r="AA123" i="2" s="1"/>
  <c r="AD123" i="2"/>
  <c r="AE123" i="2" s="1"/>
  <c r="Y124" i="2"/>
  <c r="W135" i="2"/>
  <c r="K124" i="2" l="1"/>
  <c r="L124" i="2" s="1"/>
  <c r="N124" i="2" s="1"/>
  <c r="R124" i="2" s="1"/>
  <c r="C126" i="2"/>
  <c r="F125" i="2"/>
  <c r="D125" i="2"/>
  <c r="E125" i="2" s="1"/>
  <c r="H125" i="2"/>
  <c r="I125" i="2" s="1"/>
  <c r="K125" i="2" s="1"/>
  <c r="AG123" i="2"/>
  <c r="AH123" i="2" s="1"/>
  <c r="AJ123" i="2" s="1"/>
  <c r="AN123" i="2" s="1"/>
  <c r="AB124" i="2"/>
  <c r="Z124" i="2"/>
  <c r="AA124" i="2" s="1"/>
  <c r="AD124" i="2"/>
  <c r="AE124" i="2" s="1"/>
  <c r="AG124" i="2" s="1"/>
  <c r="Y125" i="2"/>
  <c r="W136" i="2"/>
  <c r="AH124" i="2" l="1"/>
  <c r="AJ124" i="2" s="1"/>
  <c r="AN124" i="2" s="1"/>
  <c r="L125" i="2"/>
  <c r="N125" i="2" s="1"/>
  <c r="R125" i="2" s="1"/>
  <c r="F126" i="2"/>
  <c r="D126" i="2"/>
  <c r="E126" i="2" s="1"/>
  <c r="C127" i="2"/>
  <c r="H126" i="2"/>
  <c r="I126" i="2" s="1"/>
  <c r="K126" i="2" s="1"/>
  <c r="AB125" i="2"/>
  <c r="Y126" i="2"/>
  <c r="Z125" i="2"/>
  <c r="AA125" i="2" s="1"/>
  <c r="AD125" i="2"/>
  <c r="AE125" i="2" s="1"/>
  <c r="AG125" i="2" s="1"/>
  <c r="W137" i="2"/>
  <c r="C125" i="1"/>
  <c r="D116" i="1"/>
  <c r="D115" i="1"/>
  <c r="C115" i="1"/>
  <c r="AH125" i="2" l="1"/>
  <c r="AJ125" i="2" s="1"/>
  <c r="AN125" i="2" s="1"/>
  <c r="L126" i="2"/>
  <c r="N126" i="2" s="1"/>
  <c r="R126" i="2" s="1"/>
  <c r="F127" i="2"/>
  <c r="D127" i="2"/>
  <c r="E127" i="2" s="1"/>
  <c r="C128" i="2"/>
  <c r="H127" i="2"/>
  <c r="I127" i="2" s="1"/>
  <c r="K127" i="2" s="1"/>
  <c r="AB126" i="2"/>
  <c r="Z126" i="2"/>
  <c r="AA126" i="2" s="1"/>
  <c r="Y127" i="2"/>
  <c r="AD126" i="2"/>
  <c r="AE126" i="2" s="1"/>
  <c r="AG126" i="2" s="1"/>
  <c r="C99" i="1"/>
  <c r="C95" i="1"/>
  <c r="AH126" i="2" l="1"/>
  <c r="AJ126" i="2" s="1"/>
  <c r="AN126" i="2" s="1"/>
  <c r="L127" i="2"/>
  <c r="N127" i="2" s="1"/>
  <c r="R127" i="2" s="1"/>
  <c r="D128" i="2"/>
  <c r="E128" i="2" s="1"/>
  <c r="C129" i="2"/>
  <c r="F128" i="2"/>
  <c r="H128" i="2"/>
  <c r="I128" i="2" s="1"/>
  <c r="K128" i="2" s="1"/>
  <c r="AB127" i="2"/>
  <c r="Z127" i="2"/>
  <c r="AA127" i="2" s="1"/>
  <c r="Y128" i="2"/>
  <c r="AD127" i="2"/>
  <c r="AE127" i="2" s="1"/>
  <c r="B194" i="2"/>
  <c r="B193" i="2"/>
  <c r="B192" i="2"/>
  <c r="B191" i="2"/>
  <c r="B190" i="2"/>
  <c r="B189" i="2"/>
  <c r="B188" i="2"/>
  <c r="B187" i="2"/>
  <c r="B186" i="2"/>
  <c r="B185" i="2"/>
  <c r="B184" i="2"/>
  <c r="B183" i="2"/>
  <c r="B182" i="2"/>
  <c r="B181" i="2"/>
  <c r="B180" i="2"/>
  <c r="B179" i="2"/>
  <c r="B178" i="2"/>
  <c r="L128" i="2" l="1"/>
  <c r="N128" i="2" s="1"/>
  <c r="R128" i="2" s="1"/>
  <c r="AG127" i="2"/>
  <c r="AH127" i="2" s="1"/>
  <c r="AJ127" i="2" s="1"/>
  <c r="AN127" i="2" s="1"/>
  <c r="C130" i="2"/>
  <c r="D129" i="2"/>
  <c r="E129" i="2" s="1"/>
  <c r="F129" i="2"/>
  <c r="H129" i="2"/>
  <c r="I129" i="2" s="1"/>
  <c r="K129" i="2" s="1"/>
  <c r="AB128" i="2"/>
  <c r="Z128" i="2"/>
  <c r="AA128" i="2" s="1"/>
  <c r="Y129" i="2"/>
  <c r="AD128" i="2"/>
  <c r="AE128" i="2" s="1"/>
  <c r="C98" i="1"/>
  <c r="Z66" i="2"/>
  <c r="X66" i="2"/>
  <c r="B66" i="2"/>
  <c r="L129" i="2" l="1"/>
  <c r="N129" i="2" s="1"/>
  <c r="R129" i="2" s="1"/>
  <c r="AG128" i="2"/>
  <c r="AH128" i="2" s="1"/>
  <c r="AJ128" i="2" s="1"/>
  <c r="AN128" i="2" s="1"/>
  <c r="H130" i="2"/>
  <c r="I130" i="2" s="1"/>
  <c r="D130" i="2"/>
  <c r="E130" i="2" s="1"/>
  <c r="F130" i="2"/>
  <c r="C131" i="2"/>
  <c r="AD66" i="2"/>
  <c r="AE66" i="2" s="1"/>
  <c r="AG66" i="2" s="1"/>
  <c r="AA66" i="2"/>
  <c r="AB129" i="2"/>
  <c r="Y130" i="2"/>
  <c r="Z129" i="2"/>
  <c r="AA129" i="2" s="1"/>
  <c r="AD129" i="2"/>
  <c r="AE129" i="2" s="1"/>
  <c r="K130" i="2" l="1"/>
  <c r="L130" i="2" s="1"/>
  <c r="N130" i="2" s="1"/>
  <c r="R130" i="2" s="1"/>
  <c r="F131" i="2"/>
  <c r="C132" i="2"/>
  <c r="D131" i="2"/>
  <c r="E131" i="2" s="1"/>
  <c r="H131" i="2"/>
  <c r="I131" i="2" s="1"/>
  <c r="K131" i="2" s="1"/>
  <c r="AG129" i="2"/>
  <c r="AH129" i="2" s="1"/>
  <c r="AJ129" i="2" s="1"/>
  <c r="AN129" i="2" s="1"/>
  <c r="AB130" i="2"/>
  <c r="Z130" i="2"/>
  <c r="AA130" i="2" s="1"/>
  <c r="AD130" i="2"/>
  <c r="AE130" i="2" s="1"/>
  <c r="Y131" i="2"/>
  <c r="AH66" i="2"/>
  <c r="L131" i="2" l="1"/>
  <c r="N131" i="2" s="1"/>
  <c r="R131" i="2" s="1"/>
  <c r="AG130" i="2"/>
  <c r="AH130" i="2" s="1"/>
  <c r="AJ130" i="2" s="1"/>
  <c r="AN130" i="2" s="1"/>
  <c r="C133" i="2"/>
  <c r="H132" i="2"/>
  <c r="I132" i="2" s="1"/>
  <c r="D132" i="2"/>
  <c r="E132" i="2" s="1"/>
  <c r="F132" i="2"/>
  <c r="AB131" i="2"/>
  <c r="AD131" i="2"/>
  <c r="AE131" i="2" s="1"/>
  <c r="AG131" i="2" s="1"/>
  <c r="Z131" i="2"/>
  <c r="AA131" i="2" s="1"/>
  <c r="Y132" i="2"/>
  <c r="AJ66" i="2"/>
  <c r="AN66" i="2" s="1"/>
  <c r="H66" i="2"/>
  <c r="I66" i="2" s="1"/>
  <c r="K66" i="2" s="1"/>
  <c r="D66" i="2"/>
  <c r="E66" i="2" s="1"/>
  <c r="C58" i="1"/>
  <c r="L66" i="2" l="1"/>
  <c r="N66" i="2" s="1"/>
  <c r="R66" i="2" s="1"/>
  <c r="AH131" i="2"/>
  <c r="AJ131" i="2" s="1"/>
  <c r="AN131" i="2" s="1"/>
  <c r="K132" i="2"/>
  <c r="L132" i="2" s="1"/>
  <c r="N132" i="2" s="1"/>
  <c r="R132" i="2" s="1"/>
  <c r="C134" i="2"/>
  <c r="F133" i="2"/>
  <c r="D133" i="2"/>
  <c r="E133" i="2" s="1"/>
  <c r="H133" i="2"/>
  <c r="I133" i="2" s="1"/>
  <c r="K133" i="2" s="1"/>
  <c r="AB132" i="2"/>
  <c r="Z132" i="2"/>
  <c r="AA132" i="2" s="1"/>
  <c r="AD132" i="2"/>
  <c r="AE132" i="2" s="1"/>
  <c r="Y133" i="2"/>
  <c r="C27" i="1"/>
  <c r="C190" i="1" l="1"/>
  <c r="C45" i="1"/>
  <c r="L133" i="2"/>
  <c r="N133" i="2" s="1"/>
  <c r="R133" i="2" s="1"/>
  <c r="AG132" i="2"/>
  <c r="AH132" i="2" s="1"/>
  <c r="AJ132" i="2" s="1"/>
  <c r="AN132" i="2" s="1"/>
  <c r="H134" i="2"/>
  <c r="I134" i="2" s="1"/>
  <c r="D134" i="2"/>
  <c r="E134" i="2" s="1"/>
  <c r="F134" i="2"/>
  <c r="C135" i="2"/>
  <c r="AB133" i="2"/>
  <c r="Y134" i="2"/>
  <c r="AD133" i="2"/>
  <c r="AE133" i="2" s="1"/>
  <c r="Z133" i="2"/>
  <c r="AA133" i="2" s="1"/>
  <c r="C138" i="1"/>
  <c r="C136" i="1"/>
  <c r="C139" i="1"/>
  <c r="C44" i="1"/>
  <c r="C106" i="1"/>
  <c r="C91" i="1" l="1"/>
  <c r="K178" i="2"/>
  <c r="L179" i="2" s="1"/>
  <c r="C201" i="1"/>
  <c r="C199" i="1"/>
  <c r="AG133" i="2"/>
  <c r="AH133" i="2" s="1"/>
  <c r="AJ133" i="2" s="1"/>
  <c r="AN133" i="2" s="1"/>
  <c r="K134" i="2"/>
  <c r="L134" i="2" s="1"/>
  <c r="N134" i="2" s="1"/>
  <c r="R134" i="2" s="1"/>
  <c r="F135" i="2"/>
  <c r="D135" i="2"/>
  <c r="E135" i="2" s="1"/>
  <c r="C136" i="2"/>
  <c r="H135" i="2"/>
  <c r="I135" i="2" s="1"/>
  <c r="AB134" i="2"/>
  <c r="Z134" i="2"/>
  <c r="AA134" i="2" s="1"/>
  <c r="Y135" i="2"/>
  <c r="AD134" i="2"/>
  <c r="AE134" i="2" s="1"/>
  <c r="AG134" i="2" s="1"/>
  <c r="T81" i="2"/>
  <c r="T112" i="2"/>
  <c r="T90" i="2"/>
  <c r="T122" i="2"/>
  <c r="T117" i="2"/>
  <c r="T97" i="2"/>
  <c r="T71" i="2"/>
  <c r="T103" i="2"/>
  <c r="T135" i="2"/>
  <c r="T113" i="2"/>
  <c r="T70" i="2"/>
  <c r="T92" i="2"/>
  <c r="T72" i="2"/>
  <c r="T96" i="2"/>
  <c r="T74" i="2"/>
  <c r="T69" i="2"/>
  <c r="T87" i="2"/>
  <c r="T108" i="2"/>
  <c r="T76" i="2"/>
  <c r="T68" i="2"/>
  <c r="T100" i="2"/>
  <c r="T91" i="2"/>
  <c r="T123" i="2"/>
  <c r="T124" i="2"/>
  <c r="T99" i="2"/>
  <c r="T93" i="2"/>
  <c r="T128" i="2"/>
  <c r="T94" i="2"/>
  <c r="T126" i="2"/>
  <c r="T133" i="2"/>
  <c r="T109" i="2"/>
  <c r="T75" i="2"/>
  <c r="T107" i="2"/>
  <c r="T125" i="2"/>
  <c r="T134" i="2"/>
  <c r="T115" i="2"/>
  <c r="T106" i="2"/>
  <c r="T84" i="2"/>
  <c r="T119" i="2"/>
  <c r="T78" i="2"/>
  <c r="T110" i="2"/>
  <c r="T77" i="2"/>
  <c r="T101" i="2"/>
  <c r="T67" i="2"/>
  <c r="T98" i="2"/>
  <c r="T130" i="2"/>
  <c r="T80" i="2"/>
  <c r="T129" i="2"/>
  <c r="T79" i="2"/>
  <c r="T111" i="2"/>
  <c r="T137" i="2"/>
  <c r="T102" i="2"/>
  <c r="T83" i="2"/>
  <c r="T121" i="2"/>
  <c r="T116" i="2"/>
  <c r="T88" i="2"/>
  <c r="T82" i="2"/>
  <c r="T114" i="2"/>
  <c r="T89" i="2"/>
  <c r="T73" i="2"/>
  <c r="T120" i="2"/>
  <c r="T95" i="2"/>
  <c r="T127" i="2"/>
  <c r="T136" i="2"/>
  <c r="T104" i="2"/>
  <c r="T86" i="2"/>
  <c r="T118" i="2"/>
  <c r="T105" i="2"/>
  <c r="T85" i="2"/>
  <c r="T132" i="2"/>
  <c r="T131" i="2"/>
  <c r="C110" i="1"/>
  <c r="C47" i="1"/>
  <c r="K199" i="2" l="1"/>
  <c r="L200" i="2" s="1"/>
  <c r="K185" i="2"/>
  <c r="L186" i="2" s="1"/>
  <c r="K135" i="2"/>
  <c r="L135" i="2" s="1"/>
  <c r="N135" i="2" s="1"/>
  <c r="R135" i="2" s="1"/>
  <c r="C132" i="1"/>
  <c r="AH134" i="2"/>
  <c r="AJ134" i="2" s="1"/>
  <c r="AN134" i="2" s="1"/>
  <c r="D136" i="2"/>
  <c r="E136" i="2" s="1"/>
  <c r="F136" i="2"/>
  <c r="H136" i="2"/>
  <c r="I136" i="2" s="1"/>
  <c r="C137" i="2"/>
  <c r="AB135" i="2"/>
  <c r="Z135" i="2"/>
  <c r="AA135" i="2" s="1"/>
  <c r="AD135" i="2"/>
  <c r="AE135" i="2" s="1"/>
  <c r="Y136" i="2"/>
  <c r="K192" i="2"/>
  <c r="K194" i="2" s="1"/>
  <c r="C97" i="1"/>
  <c r="C215" i="1" s="1"/>
  <c r="K181" i="2"/>
  <c r="C100" i="1"/>
  <c r="C111" i="1"/>
  <c r="C133" i="1"/>
  <c r="C128" i="1"/>
  <c r="K180" i="2"/>
  <c r="C177" i="1" l="1"/>
  <c r="K202" i="2"/>
  <c r="K200" i="2" s="1"/>
  <c r="K201" i="2"/>
  <c r="K136" i="2"/>
  <c r="L136" i="2" s="1"/>
  <c r="N136" i="2" s="1"/>
  <c r="R136" i="2" s="1"/>
  <c r="AG135" i="2"/>
  <c r="AH135" i="2" s="1"/>
  <c r="AJ135" i="2" s="1"/>
  <c r="AN135" i="2" s="1"/>
  <c r="F137" i="2"/>
  <c r="D137" i="2"/>
  <c r="E137" i="2" s="1"/>
  <c r="H137" i="2"/>
  <c r="I137" i="2" s="1"/>
  <c r="AB136" i="2"/>
  <c r="Y137" i="2"/>
  <c r="Z136" i="2"/>
  <c r="AA136" i="2" s="1"/>
  <c r="AD136" i="2"/>
  <c r="AE136" i="2" s="1"/>
  <c r="K179" i="2"/>
  <c r="U71" i="2"/>
  <c r="U75" i="2"/>
  <c r="U79" i="2"/>
  <c r="U83" i="2"/>
  <c r="U87" i="2"/>
  <c r="U91" i="2"/>
  <c r="U95" i="2"/>
  <c r="U99" i="2"/>
  <c r="U103" i="2"/>
  <c r="U107" i="2"/>
  <c r="U111" i="2"/>
  <c r="U115" i="2"/>
  <c r="U119" i="2"/>
  <c r="U123" i="2"/>
  <c r="U127" i="2"/>
  <c r="U131" i="2"/>
  <c r="U135" i="2"/>
  <c r="U68" i="2"/>
  <c r="U81" i="2"/>
  <c r="U89" i="2"/>
  <c r="U101" i="2"/>
  <c r="U113" i="2"/>
  <c r="U121" i="2"/>
  <c r="U77" i="2"/>
  <c r="U97" i="2"/>
  <c r="U109" i="2"/>
  <c r="U125" i="2"/>
  <c r="U67" i="2"/>
  <c r="U70" i="2"/>
  <c r="U74" i="2"/>
  <c r="U78" i="2"/>
  <c r="U82" i="2"/>
  <c r="U86" i="2"/>
  <c r="U90" i="2"/>
  <c r="U94" i="2"/>
  <c r="U98" i="2"/>
  <c r="U102" i="2"/>
  <c r="U106" i="2"/>
  <c r="U110" i="2"/>
  <c r="U114" i="2"/>
  <c r="U118" i="2"/>
  <c r="U122" i="2"/>
  <c r="U126" i="2"/>
  <c r="U130" i="2"/>
  <c r="U134" i="2"/>
  <c r="U69" i="2"/>
  <c r="U85" i="2"/>
  <c r="U105" i="2"/>
  <c r="U129" i="2"/>
  <c r="U137" i="2"/>
  <c r="U72" i="2"/>
  <c r="U76" i="2"/>
  <c r="U80" i="2"/>
  <c r="U84" i="2"/>
  <c r="U88" i="2"/>
  <c r="U92" i="2"/>
  <c r="U96" i="2"/>
  <c r="U100" i="2"/>
  <c r="U104" i="2"/>
  <c r="U108" i="2"/>
  <c r="U112" i="2"/>
  <c r="U116" i="2"/>
  <c r="U120" i="2"/>
  <c r="U124" i="2"/>
  <c r="U128" i="2"/>
  <c r="U132" i="2"/>
  <c r="U136" i="2"/>
  <c r="U73" i="2"/>
  <c r="U93" i="2"/>
  <c r="U117" i="2"/>
  <c r="U133" i="2"/>
  <c r="K195" i="2"/>
  <c r="K193" i="2" s="1"/>
  <c r="L193" i="2"/>
  <c r="D125" i="1"/>
  <c r="C93" i="1"/>
  <c r="C103" i="1"/>
  <c r="C104" i="1"/>
  <c r="U66" i="2"/>
  <c r="T66" i="2"/>
  <c r="C178" i="1" l="1"/>
  <c r="C176" i="1"/>
  <c r="K137" i="2"/>
  <c r="L137" i="2" s="1"/>
  <c r="N137" i="2" s="1"/>
  <c r="R137" i="2" s="1"/>
  <c r="AG136" i="2"/>
  <c r="AH136" i="2" s="1"/>
  <c r="AJ136" i="2" s="1"/>
  <c r="AN136" i="2" s="1"/>
  <c r="AB137" i="2"/>
  <c r="AD137" i="2"/>
  <c r="AE137" i="2" s="1"/>
  <c r="AG137" i="2" s="1"/>
  <c r="Z137" i="2"/>
  <c r="AA137" i="2" s="1"/>
  <c r="C107" i="1"/>
  <c r="C108" i="1" s="1"/>
  <c r="K187" i="2"/>
  <c r="K188" i="2"/>
  <c r="K186" i="2" s="1"/>
  <c r="C114" i="1" l="1"/>
  <c r="C161" i="1"/>
  <c r="AH137" i="2"/>
  <c r="AJ137" i="2" s="1"/>
  <c r="AN137" i="2" s="1"/>
  <c r="C116" i="1"/>
  <c r="C123" i="1"/>
  <c r="C119" i="1"/>
  <c r="C122" i="1" s="1"/>
  <c r="C129" i="1"/>
  <c r="C169" i="1" l="1"/>
  <c r="C229" i="1"/>
  <c r="C121" i="1"/>
  <c r="C120" i="1"/>
  <c r="C162" i="1" l="1"/>
  <c r="C170" i="1" s="1"/>
  <c r="C173" i="1" s="1"/>
  <c r="C1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Koberlein</author>
  </authors>
  <commentList>
    <comment ref="E212" authorId="0" shapeId="0" xr:uid="{00000000-0006-0000-0100-000001000000}">
      <text>
        <r>
          <rPr>
            <b/>
            <sz val="11"/>
            <color indexed="81"/>
            <rFont val="Tahoma"/>
            <family val="2"/>
          </rPr>
          <t>Paul Koberlein:</t>
        </r>
        <r>
          <rPr>
            <sz val="11"/>
            <color indexed="81"/>
            <rFont val="Tahoma"/>
            <family val="2"/>
          </rPr>
          <t xml:space="preserve">
Maybe give a range of acceptable values?</t>
        </r>
      </text>
    </comment>
    <comment ref="E226" authorId="0" shapeId="0" xr:uid="{00000000-0006-0000-0100-000002000000}">
      <text>
        <r>
          <rPr>
            <b/>
            <sz val="11"/>
            <color indexed="81"/>
            <rFont val="Tahoma"/>
            <family val="2"/>
          </rPr>
          <t>Paul Koberlein:</t>
        </r>
        <r>
          <rPr>
            <sz val="11"/>
            <color indexed="81"/>
            <rFont val="Tahoma"/>
            <family val="2"/>
          </rPr>
          <t xml:space="preserve">
Maybe give a range of acceptable values?</t>
        </r>
      </text>
    </comment>
  </commentList>
</comments>
</file>

<file path=xl/sharedStrings.xml><?xml version="1.0" encoding="utf-8"?>
<sst xmlns="http://schemas.openxmlformats.org/spreadsheetml/2006/main" count="614" uniqueCount="413">
  <si>
    <t>Please enter design parameters into the</t>
  </si>
  <si>
    <t>shaded</t>
  </si>
  <si>
    <t xml:space="preserve">cells; </t>
  </si>
  <si>
    <r>
      <t xml:space="preserve">Be sure to </t>
    </r>
    <r>
      <rPr>
        <b/>
        <i/>
        <sz val="14"/>
        <rFont val="Arial"/>
        <family val="2"/>
      </rPr>
      <t>ENABLE EDITING</t>
    </r>
    <r>
      <rPr>
        <b/>
        <sz val="14"/>
        <rFont val="Arial"/>
        <family val="2"/>
      </rPr>
      <t xml:space="preserve"> before attempting to use this design calculator</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</si>
  <si>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</si>
  <si>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</si>
  <si>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Disclaimer</t>
  </si>
  <si>
    <t>V</t>
  </si>
  <si>
    <t>W</t>
  </si>
  <si>
    <t>h</t>
  </si>
  <si>
    <t>A</t>
  </si>
  <si>
    <t>kHz</t>
  </si>
  <si>
    <r>
      <t>V</t>
    </r>
    <r>
      <rPr>
        <vertAlign val="subscript"/>
        <sz val="11"/>
        <color theme="1"/>
        <rFont val="ＭＳ Ｐゴシック"/>
        <family val="2"/>
        <scheme val="minor"/>
      </rPr>
      <t>PP</t>
    </r>
  </si>
  <si>
    <r>
      <t>V</t>
    </r>
    <r>
      <rPr>
        <vertAlign val="subscript"/>
        <sz val="11"/>
        <color theme="1"/>
        <rFont val="ＭＳ Ｐゴシック"/>
        <family val="2"/>
        <scheme val="minor"/>
      </rPr>
      <t>BLK(max)</t>
    </r>
  </si>
  <si>
    <r>
      <t>V</t>
    </r>
    <r>
      <rPr>
        <vertAlign val="subscript"/>
        <sz val="11"/>
        <color theme="1"/>
        <rFont val="ＭＳ Ｐゴシック"/>
        <family val="2"/>
        <scheme val="minor"/>
      </rPr>
      <t>BLK(hu)</t>
    </r>
  </si>
  <si>
    <r>
      <t>V</t>
    </r>
    <r>
      <rPr>
        <vertAlign val="subscript"/>
        <sz val="11"/>
        <color theme="1"/>
        <rFont val="ＭＳ Ｐゴシック"/>
        <family val="2"/>
        <scheme val="minor"/>
      </rPr>
      <t>OUT</t>
    </r>
  </si>
  <si>
    <r>
      <t>I</t>
    </r>
    <r>
      <rPr>
        <vertAlign val="subscript"/>
        <sz val="11"/>
        <color theme="1"/>
        <rFont val="ＭＳ Ｐゴシック"/>
        <family val="2"/>
        <scheme val="minor"/>
      </rPr>
      <t>OUT</t>
    </r>
  </si>
  <si>
    <r>
      <t>V</t>
    </r>
    <r>
      <rPr>
        <vertAlign val="subscript"/>
        <sz val="11"/>
        <color theme="1"/>
        <rFont val="ＭＳ Ｐゴシック"/>
        <family val="2"/>
        <scheme val="minor"/>
      </rPr>
      <t>OUT(pk-pk)</t>
    </r>
  </si>
  <si>
    <t>mV</t>
  </si>
  <si>
    <r>
      <t>P</t>
    </r>
    <r>
      <rPr>
        <vertAlign val="subscript"/>
        <sz val="11"/>
        <color theme="1"/>
        <rFont val="ＭＳ Ｐゴシック"/>
        <family val="2"/>
        <scheme val="minor"/>
      </rPr>
      <t>OUT</t>
    </r>
  </si>
  <si>
    <r>
      <t>f</t>
    </r>
    <r>
      <rPr>
        <vertAlign val="subscript"/>
        <sz val="11"/>
        <color theme="1"/>
        <rFont val="ＭＳ Ｐゴシック"/>
        <family val="2"/>
        <scheme val="minor"/>
      </rPr>
      <t>LLC</t>
    </r>
  </si>
  <si>
    <r>
      <t>N</t>
    </r>
    <r>
      <rPr>
        <vertAlign val="subscript"/>
        <sz val="11"/>
        <color theme="1"/>
        <rFont val="ＭＳ Ｐゴシック"/>
        <family val="2"/>
        <scheme val="minor"/>
      </rPr>
      <t>PS</t>
    </r>
  </si>
  <si>
    <r>
      <t>R</t>
    </r>
    <r>
      <rPr>
        <vertAlign val="subscript"/>
        <sz val="11"/>
        <color theme="1"/>
        <rFont val="ＭＳ Ｐゴシック"/>
        <family val="2"/>
        <scheme val="minor"/>
      </rPr>
      <t>E</t>
    </r>
  </si>
  <si>
    <t>Ω</t>
  </si>
  <si>
    <r>
      <t>M</t>
    </r>
    <r>
      <rPr>
        <vertAlign val="subscript"/>
        <sz val="11"/>
        <color theme="1"/>
        <rFont val="ＭＳ Ｐゴシック"/>
        <family val="2"/>
        <scheme val="minor"/>
      </rPr>
      <t>G(min)</t>
    </r>
  </si>
  <si>
    <r>
      <t>V</t>
    </r>
    <r>
      <rPr>
        <vertAlign val="subscript"/>
        <sz val="11"/>
        <color theme="1"/>
        <rFont val="ＭＳ Ｐゴシック"/>
        <family val="2"/>
        <scheme val="minor"/>
      </rPr>
      <t>LOSS</t>
    </r>
  </si>
  <si>
    <r>
      <t>f</t>
    </r>
    <r>
      <rPr>
        <vertAlign val="subscript"/>
        <sz val="11"/>
        <color theme="1"/>
        <rFont val="ＭＳ Ｐゴシック"/>
        <family val="2"/>
        <scheme val="minor"/>
      </rPr>
      <t>0</t>
    </r>
  </si>
  <si>
    <r>
      <t>f</t>
    </r>
    <r>
      <rPr>
        <vertAlign val="subscript"/>
        <sz val="11"/>
        <color theme="1"/>
        <rFont val="ＭＳ Ｐゴシック"/>
        <family val="2"/>
        <scheme val="minor"/>
      </rPr>
      <t>P</t>
    </r>
  </si>
  <si>
    <t>Ln</t>
  </si>
  <si>
    <t>fn</t>
  </si>
  <si>
    <t>Qe</t>
  </si>
  <si>
    <t>Mg_max</t>
  </si>
  <si>
    <t>Mg_min</t>
  </si>
  <si>
    <r>
      <t>L</t>
    </r>
    <r>
      <rPr>
        <vertAlign val="subscript"/>
        <sz val="11"/>
        <color theme="1"/>
        <rFont val="ＭＳ Ｐゴシック"/>
        <family val="2"/>
        <scheme val="minor"/>
      </rPr>
      <t>N</t>
    </r>
  </si>
  <si>
    <r>
      <t>Select L</t>
    </r>
    <r>
      <rPr>
        <b/>
        <vertAlign val="subscript"/>
        <sz val="11"/>
        <color theme="1"/>
        <rFont val="ＭＳ Ｐゴシック"/>
        <family val="2"/>
        <scheme val="minor"/>
      </rPr>
      <t>N</t>
    </r>
    <r>
      <rPr>
        <b/>
        <sz val="11"/>
        <color theme="1"/>
        <rFont val="ＭＳ Ｐゴシック"/>
        <family val="2"/>
        <scheme val="minor"/>
      </rPr>
      <t xml:space="preserve"> and Q</t>
    </r>
    <r>
      <rPr>
        <b/>
        <vertAlign val="subscript"/>
        <sz val="11"/>
        <color theme="1"/>
        <rFont val="ＭＳ Ｐゴシック"/>
        <family val="2"/>
        <scheme val="minor"/>
      </rPr>
      <t>E</t>
    </r>
  </si>
  <si>
    <r>
      <t>Q</t>
    </r>
    <r>
      <rPr>
        <vertAlign val="subscript"/>
        <sz val="11"/>
        <color theme="1"/>
        <rFont val="ＭＳ Ｐゴシック"/>
        <family val="2"/>
        <scheme val="minor"/>
      </rPr>
      <t>E</t>
    </r>
  </si>
  <si>
    <r>
      <t>M</t>
    </r>
    <r>
      <rPr>
        <vertAlign val="subscript"/>
        <sz val="11"/>
        <color theme="1"/>
        <rFont val="ＭＳ Ｐゴシック"/>
        <family val="2"/>
        <scheme val="minor"/>
      </rPr>
      <t>G(noload)</t>
    </r>
  </si>
  <si>
    <t>fn^2</t>
  </si>
  <si>
    <t>Ln*fn^2</t>
  </si>
  <si>
    <t>real</t>
  </si>
  <si>
    <t>imaginary</t>
  </si>
  <si>
    <t>complex part</t>
  </si>
  <si>
    <t>Imaginary product</t>
  </si>
  <si>
    <t>Imaginary sum</t>
  </si>
  <si>
    <t>Imaginary div</t>
  </si>
  <si>
    <t>Abs for curve</t>
  </si>
  <si>
    <t>OVERLOAD Condition</t>
  </si>
  <si>
    <r>
      <t>f</t>
    </r>
    <r>
      <rPr>
        <vertAlign val="subscript"/>
        <sz val="11"/>
        <color theme="1"/>
        <rFont val="ＭＳ Ｐゴシック"/>
        <family val="2"/>
        <scheme val="minor"/>
      </rPr>
      <t>N(max)</t>
    </r>
  </si>
  <si>
    <t>Parameters of the LLC Resonant Circuit</t>
  </si>
  <si>
    <t>scalers</t>
  </si>
  <si>
    <t>mV factor</t>
  </si>
  <si>
    <t>uF factor</t>
  </si>
  <si>
    <t>kHz factor</t>
  </si>
  <si>
    <t>mΩ factor</t>
  </si>
  <si>
    <t>ms factor</t>
  </si>
  <si>
    <t>mA factor</t>
  </si>
  <si>
    <t>us factor</t>
  </si>
  <si>
    <t>uH factor</t>
  </si>
  <si>
    <t>ns factor</t>
  </si>
  <si>
    <t>mW factor</t>
  </si>
  <si>
    <t>pF factor</t>
  </si>
  <si>
    <t>MHz factor</t>
  </si>
  <si>
    <t>uA factor</t>
  </si>
  <si>
    <r>
      <t>k</t>
    </r>
    <r>
      <rPr>
        <sz val="11"/>
        <color theme="1"/>
        <rFont val="Calibri"/>
        <family val="2"/>
      </rPr>
      <t>Ω</t>
    </r>
    <r>
      <rPr>
        <sz val="11"/>
        <color theme="1"/>
        <rFont val="Arial"/>
        <family val="2"/>
      </rPr>
      <t xml:space="preserve"> factor</t>
    </r>
  </si>
  <si>
    <t>nC factor</t>
  </si>
  <si>
    <t>nF factor</t>
  </si>
  <si>
    <t>uC factor</t>
  </si>
  <si>
    <t>Standard Capacitor Values</t>
  </si>
  <si>
    <t>C values up to 10nF</t>
  </si>
  <si>
    <t>C values greater than 10nF</t>
  </si>
  <si>
    <t>CR calculations</t>
  </si>
  <si>
    <t>pF</t>
  </si>
  <si>
    <r>
      <t>C</t>
    </r>
    <r>
      <rPr>
        <vertAlign val="subscript"/>
        <sz val="11"/>
        <color theme="1"/>
        <rFont val="Arial"/>
        <family val="2"/>
      </rPr>
      <t>R</t>
    </r>
    <r>
      <rPr>
        <sz val="11"/>
        <color theme="1"/>
        <rFont val="Arial"/>
        <family val="2"/>
      </rPr>
      <t xml:space="preserve"> Initial:</t>
    </r>
  </si>
  <si>
    <r>
      <t>C</t>
    </r>
    <r>
      <rPr>
        <vertAlign val="subscript"/>
        <sz val="11"/>
        <color theme="1"/>
        <rFont val="ＭＳ Ｐゴシック"/>
        <family val="2"/>
        <scheme val="minor"/>
      </rPr>
      <t>R</t>
    </r>
  </si>
  <si>
    <t>uH</t>
  </si>
  <si>
    <r>
      <t>L</t>
    </r>
    <r>
      <rPr>
        <vertAlign val="subscript"/>
        <sz val="11"/>
        <color theme="1"/>
        <rFont val="ＭＳ Ｐゴシック"/>
        <family val="2"/>
        <scheme val="minor"/>
      </rPr>
      <t>R</t>
    </r>
  </si>
  <si>
    <r>
      <t>C</t>
    </r>
    <r>
      <rPr>
        <vertAlign val="subscript"/>
        <sz val="11"/>
        <color theme="1"/>
        <rFont val="ＭＳ Ｐゴシック"/>
        <family val="2"/>
        <scheme val="minor"/>
      </rPr>
      <t>R(recommended)</t>
    </r>
  </si>
  <si>
    <r>
      <t>L</t>
    </r>
    <r>
      <rPr>
        <vertAlign val="subscript"/>
        <sz val="11"/>
        <color theme="1"/>
        <rFont val="ＭＳ Ｐゴシック"/>
        <family val="2"/>
        <scheme val="minor"/>
      </rPr>
      <t>R(recommended)</t>
    </r>
  </si>
  <si>
    <r>
      <t>L</t>
    </r>
    <r>
      <rPr>
        <vertAlign val="subscript"/>
        <sz val="11"/>
        <color theme="1"/>
        <rFont val="ＭＳ Ｐゴシック"/>
        <family val="2"/>
        <scheme val="minor"/>
      </rPr>
      <t>M(recommended)</t>
    </r>
  </si>
  <si>
    <r>
      <t>L</t>
    </r>
    <r>
      <rPr>
        <vertAlign val="subscript"/>
        <sz val="11"/>
        <color theme="1"/>
        <rFont val="ＭＳ Ｐゴシック"/>
        <family val="2"/>
        <scheme val="minor"/>
      </rPr>
      <t>M</t>
    </r>
  </si>
  <si>
    <r>
      <t>L</t>
    </r>
    <r>
      <rPr>
        <vertAlign val="subscript"/>
        <sz val="11"/>
        <color theme="1"/>
        <rFont val="ＭＳ Ｐゴシック"/>
        <family val="2"/>
        <scheme val="minor"/>
      </rPr>
      <t>N(selected)</t>
    </r>
  </si>
  <si>
    <r>
      <t>Q</t>
    </r>
    <r>
      <rPr>
        <vertAlign val="subscript"/>
        <sz val="11"/>
        <color theme="1"/>
        <rFont val="ＭＳ Ｐゴシック"/>
        <family val="2"/>
        <scheme val="minor"/>
      </rPr>
      <t>E(selected)</t>
    </r>
  </si>
  <si>
    <r>
      <t>R</t>
    </r>
    <r>
      <rPr>
        <vertAlign val="subscript"/>
        <sz val="11"/>
        <color theme="1"/>
        <rFont val="ＭＳ Ｐゴシック"/>
        <family val="2"/>
        <scheme val="minor"/>
      </rPr>
      <t>E(full load)</t>
    </r>
  </si>
  <si>
    <r>
      <t>I</t>
    </r>
    <r>
      <rPr>
        <vertAlign val="subscript"/>
        <sz val="11"/>
        <color theme="1"/>
        <rFont val="ＭＳ Ｐゴシック"/>
        <family val="2"/>
        <scheme val="minor"/>
      </rPr>
      <t>OE</t>
    </r>
  </si>
  <si>
    <t>LLC Primary Side Currents</t>
  </si>
  <si>
    <r>
      <t>f</t>
    </r>
    <r>
      <rPr>
        <vertAlign val="subscript"/>
        <sz val="11"/>
        <color theme="1"/>
        <rFont val="ＭＳ Ｐゴシック"/>
        <family val="2"/>
        <scheme val="minor"/>
      </rPr>
      <t>N(Mg_max)</t>
    </r>
  </si>
  <si>
    <r>
      <t>f</t>
    </r>
    <r>
      <rPr>
        <vertAlign val="subscript"/>
        <sz val="11"/>
        <color theme="1"/>
        <rFont val="ＭＳ Ｐゴシック"/>
        <family val="2"/>
        <scheme val="minor"/>
      </rPr>
      <t>N(Mg_min)</t>
    </r>
  </si>
  <si>
    <r>
      <t>f</t>
    </r>
    <r>
      <rPr>
        <vertAlign val="subscript"/>
        <sz val="11"/>
        <color theme="1"/>
        <rFont val="ＭＳ Ｐゴシック"/>
        <family val="2"/>
        <scheme val="minor"/>
      </rPr>
      <t>SW(max)</t>
    </r>
  </si>
  <si>
    <r>
      <t>f</t>
    </r>
    <r>
      <rPr>
        <vertAlign val="subscript"/>
        <sz val="11"/>
        <color theme="1"/>
        <rFont val="ＭＳ Ｐゴシック"/>
        <family val="2"/>
        <scheme val="minor"/>
      </rPr>
      <t>SW(min)</t>
    </r>
  </si>
  <si>
    <r>
      <t>I</t>
    </r>
    <r>
      <rPr>
        <vertAlign val="subscript"/>
        <sz val="11"/>
        <color theme="1"/>
        <rFont val="ＭＳ Ｐゴシック"/>
        <family val="2"/>
        <scheme val="minor"/>
      </rPr>
      <t>M</t>
    </r>
  </si>
  <si>
    <r>
      <t>I</t>
    </r>
    <r>
      <rPr>
        <vertAlign val="subscript"/>
        <sz val="11"/>
        <color theme="1"/>
        <rFont val="ＭＳ Ｐゴシック"/>
        <family val="2"/>
        <scheme val="minor"/>
      </rPr>
      <t>R</t>
    </r>
  </si>
  <si>
    <t>LLC Secondary Side Currents</t>
  </si>
  <si>
    <r>
      <t>I</t>
    </r>
    <r>
      <rPr>
        <vertAlign val="subscript"/>
        <sz val="11"/>
        <color theme="1"/>
        <rFont val="ＭＳ Ｐゴシック"/>
        <family val="2"/>
        <scheme val="minor"/>
      </rPr>
      <t>OE(S)</t>
    </r>
  </si>
  <si>
    <r>
      <t>I</t>
    </r>
    <r>
      <rPr>
        <vertAlign val="subscript"/>
        <sz val="11"/>
        <color theme="1"/>
        <rFont val="ＭＳ Ｐゴシック"/>
        <family val="2"/>
        <scheme val="minor"/>
      </rPr>
      <t>WS</t>
    </r>
  </si>
  <si>
    <t>LLC Transformer</t>
  </si>
  <si>
    <t>LLC Resonant Inductor</t>
  </si>
  <si>
    <t>LLC Resonant Capacitor</t>
  </si>
  <si>
    <t>If Using Split Resonant Capacitors</t>
  </si>
  <si>
    <t>LLC Primary Side MOSFETs</t>
  </si>
  <si>
    <r>
      <t>V</t>
    </r>
    <r>
      <rPr>
        <vertAlign val="subscript"/>
        <sz val="11"/>
        <color theme="1"/>
        <rFont val="ＭＳ Ｐゴシック"/>
        <family val="2"/>
        <scheme val="minor"/>
      </rPr>
      <t>QLLC(peak)</t>
    </r>
  </si>
  <si>
    <r>
      <t>I</t>
    </r>
    <r>
      <rPr>
        <vertAlign val="subscript"/>
        <sz val="11"/>
        <color theme="1"/>
        <rFont val="ＭＳ Ｐゴシック"/>
        <family val="2"/>
        <scheme val="minor"/>
      </rPr>
      <t>QLLC</t>
    </r>
  </si>
  <si>
    <r>
      <t>V</t>
    </r>
    <r>
      <rPr>
        <vertAlign val="subscript"/>
        <sz val="11"/>
        <color theme="1"/>
        <rFont val="ＭＳ Ｐゴシック"/>
        <family val="2"/>
        <scheme val="minor"/>
      </rPr>
      <t>DB</t>
    </r>
  </si>
  <si>
    <r>
      <t>I</t>
    </r>
    <r>
      <rPr>
        <vertAlign val="subscript"/>
        <sz val="11"/>
        <color theme="1"/>
        <rFont val="ＭＳ Ｐゴシック"/>
        <family val="2"/>
        <scheme val="minor"/>
      </rPr>
      <t>SAV</t>
    </r>
  </si>
  <si>
    <r>
      <t>V</t>
    </r>
    <r>
      <rPr>
        <vertAlign val="subscript"/>
        <sz val="11"/>
        <color theme="1"/>
        <rFont val="ＭＳ Ｐゴシック"/>
        <family val="2"/>
        <scheme val="minor"/>
      </rPr>
      <t>LLCcap</t>
    </r>
  </si>
  <si>
    <r>
      <t>I</t>
    </r>
    <r>
      <rPr>
        <vertAlign val="subscript"/>
        <sz val="11"/>
        <color theme="1"/>
        <rFont val="ＭＳ Ｐゴシック"/>
        <family val="2"/>
        <scheme val="minor"/>
      </rPr>
      <t>C(out)</t>
    </r>
  </si>
  <si>
    <r>
      <t>I</t>
    </r>
    <r>
      <rPr>
        <vertAlign val="subscript"/>
        <sz val="11"/>
        <color theme="1"/>
        <rFont val="ＭＳ Ｐゴシック"/>
        <family val="2"/>
        <scheme val="minor"/>
      </rPr>
      <t>RECT</t>
    </r>
  </si>
  <si>
    <r>
      <t>ESR</t>
    </r>
    <r>
      <rPr>
        <vertAlign val="subscript"/>
        <sz val="11"/>
        <color theme="1"/>
        <rFont val="ＭＳ Ｐゴシック"/>
        <family val="2"/>
        <scheme val="minor"/>
      </rPr>
      <t>max</t>
    </r>
  </si>
  <si>
    <r>
      <t>m</t>
    </r>
    <r>
      <rPr>
        <sz val="11"/>
        <color theme="1"/>
        <rFont val="Calibri"/>
        <family val="2"/>
      </rPr>
      <t>Ω</t>
    </r>
  </si>
  <si>
    <r>
      <t>LLC Output Capacitors, C</t>
    </r>
    <r>
      <rPr>
        <b/>
        <vertAlign val="subscript"/>
        <sz val="11"/>
        <color theme="1"/>
        <rFont val="ＭＳ Ｐゴシック"/>
        <family val="2"/>
        <scheme val="minor"/>
      </rPr>
      <t>OUT</t>
    </r>
  </si>
  <si>
    <t>C1 calculations</t>
  </si>
  <si>
    <t>C1 initial</t>
  </si>
  <si>
    <t>C1 recommended</t>
  </si>
  <si>
    <t>Enter required nominal output voltage of converter</t>
  </si>
  <si>
    <t>Enter required maximum converter output power in Watts</t>
  </si>
  <si>
    <t>Enter the desired maximum output voltage ripple</t>
  </si>
  <si>
    <t>Enter the actual value of the Resonant Inductor Value used</t>
  </si>
  <si>
    <t>LLC Gain Curve Calacultions for plot:</t>
  </si>
  <si>
    <t>Standard Capacitor value generation</t>
  </si>
  <si>
    <t>Cin calculations</t>
  </si>
  <si>
    <t>Cin Initial</t>
  </si>
  <si>
    <t>Cin recommended</t>
  </si>
  <si>
    <r>
      <t>C</t>
    </r>
    <r>
      <rPr>
        <vertAlign val="subscript"/>
        <sz val="11"/>
        <color theme="1"/>
        <rFont val="Arial"/>
        <family val="2"/>
      </rPr>
      <t>R</t>
    </r>
    <r>
      <rPr>
        <sz val="11"/>
        <color theme="1"/>
        <rFont val="Arial"/>
        <family val="2"/>
      </rPr>
      <t xml:space="preserve"> Recommended:</t>
    </r>
  </si>
  <si>
    <t>Cblk calculations</t>
  </si>
  <si>
    <t>Cblk initial</t>
  </si>
  <si>
    <t>Cblk recommended</t>
  </si>
  <si>
    <r>
      <t>V</t>
    </r>
    <r>
      <rPr>
        <vertAlign val="subscript"/>
        <sz val="11"/>
        <color theme="1"/>
        <rFont val="ＭＳ Ｐゴシック"/>
        <family val="2"/>
        <scheme val="minor"/>
      </rPr>
      <t>BLK(ripple)target</t>
    </r>
  </si>
  <si>
    <t>Use a combination of Capacitors that will meet this ripple current rating</t>
  </si>
  <si>
    <r>
      <t xml:space="preserve">Recommended Component Values will be in </t>
    </r>
    <r>
      <rPr>
        <b/>
        <sz val="12"/>
        <color indexed="10"/>
        <rFont val="Arial"/>
        <family val="2"/>
      </rPr>
      <t>RED</t>
    </r>
  </si>
  <si>
    <t>fn^2-1</t>
  </si>
  <si>
    <t>Q</t>
  </si>
  <si>
    <t>Enter the Overall Efficiency here</t>
  </si>
  <si>
    <r>
      <rPr>
        <sz val="11"/>
        <color theme="1"/>
        <rFont val="ＭＳ Ｐゴシック"/>
        <family val="2"/>
        <scheme val="minor"/>
      </rPr>
      <t>V</t>
    </r>
    <r>
      <rPr>
        <vertAlign val="subscript"/>
        <sz val="11"/>
        <color theme="1"/>
        <rFont val="ＭＳ Ｐゴシック"/>
        <family val="2"/>
        <scheme val="minor"/>
      </rPr>
      <t>BLK</t>
    </r>
  </si>
  <si>
    <r>
      <t>M</t>
    </r>
    <r>
      <rPr>
        <vertAlign val="subscript"/>
        <sz val="11"/>
        <color theme="1"/>
        <rFont val="ＭＳ Ｐゴシック"/>
        <family val="2"/>
        <scheme val="minor"/>
      </rPr>
      <t>G(max)</t>
    </r>
  </si>
  <si>
    <r>
      <t>From the figure on the right, M</t>
    </r>
    <r>
      <rPr>
        <b/>
        <vertAlign val="subscript"/>
        <sz val="11"/>
        <color theme="1"/>
        <rFont val="Arial"/>
        <family val="2"/>
      </rPr>
      <t>G(peak)</t>
    </r>
    <r>
      <rPr>
        <b/>
        <sz val="11"/>
        <color theme="1"/>
        <rFont val="Arial"/>
        <family val="2"/>
      </rPr>
      <t xml:space="preserve"> Vs Q</t>
    </r>
    <r>
      <rPr>
        <b/>
        <vertAlign val="subscript"/>
        <sz val="11"/>
        <color theme="1"/>
        <rFont val="Arial"/>
        <family val="2"/>
      </rPr>
      <t>E</t>
    </r>
    <r>
      <rPr>
        <b/>
        <sz val="11"/>
        <color theme="1"/>
        <rFont val="Arial"/>
        <family val="2"/>
      </rPr>
      <t xml:space="preserve"> with respect to L</t>
    </r>
    <r>
      <rPr>
        <b/>
        <vertAlign val="subscript"/>
        <sz val="11"/>
        <color theme="1"/>
        <rFont val="Arial"/>
        <family val="2"/>
      </rPr>
      <t>N</t>
    </r>
    <r>
      <rPr>
        <b/>
        <sz val="11"/>
        <color theme="1"/>
        <rFont val="Arial"/>
        <family val="2"/>
      </rPr>
      <t>, select a point on an Ln curve that has an Ln and Q</t>
    </r>
    <r>
      <rPr>
        <b/>
        <vertAlign val="subscript"/>
        <sz val="11"/>
        <color theme="1"/>
        <rFont val="Arial"/>
        <family val="2"/>
      </rPr>
      <t>E</t>
    </r>
    <r>
      <rPr>
        <b/>
        <sz val="11"/>
        <color theme="1"/>
        <rFont val="Arial"/>
        <family val="2"/>
      </rPr>
      <t xml:space="preserve"> point that corresponds to an Attainable M</t>
    </r>
    <r>
      <rPr>
        <b/>
        <vertAlign val="subscript"/>
        <sz val="11"/>
        <color theme="1"/>
        <rFont val="Arial"/>
        <family val="2"/>
      </rPr>
      <t>G(PEAK)</t>
    </r>
    <r>
      <rPr>
        <b/>
        <sz val="11"/>
        <color theme="1"/>
        <rFont val="Arial"/>
        <family val="2"/>
      </rPr>
      <t xml:space="preserve"> value that is greater than M</t>
    </r>
    <r>
      <rPr>
        <b/>
        <vertAlign val="subscript"/>
        <sz val="11"/>
        <color theme="1"/>
        <rFont val="Arial"/>
        <family val="2"/>
      </rPr>
      <t>G(max)</t>
    </r>
    <r>
      <rPr>
        <b/>
        <sz val="11"/>
        <color theme="1"/>
        <rFont val="Arial"/>
        <family val="2"/>
      </rPr>
      <t>.  Enter the selected values in the L</t>
    </r>
    <r>
      <rPr>
        <b/>
        <vertAlign val="subscript"/>
        <sz val="11"/>
        <color theme="1"/>
        <rFont val="Arial"/>
        <family val="2"/>
      </rPr>
      <t>N</t>
    </r>
    <r>
      <rPr>
        <b/>
        <sz val="11"/>
        <color theme="1"/>
        <rFont val="Arial"/>
        <family val="2"/>
      </rPr>
      <t xml:space="preserve"> and Q</t>
    </r>
    <r>
      <rPr>
        <b/>
        <vertAlign val="subscript"/>
        <sz val="11"/>
        <color theme="1"/>
        <rFont val="Arial"/>
        <family val="2"/>
      </rPr>
      <t>E</t>
    </r>
    <r>
      <rPr>
        <b/>
        <sz val="11"/>
        <color theme="1"/>
        <rFont val="Arial"/>
        <family val="2"/>
      </rPr>
      <t xml:space="preserve"> cells below.</t>
    </r>
  </si>
  <si>
    <r>
      <t>For example, if M</t>
    </r>
    <r>
      <rPr>
        <vertAlign val="subscript"/>
        <sz val="11"/>
        <color theme="1"/>
        <rFont val="Arial"/>
        <family val="2"/>
      </rPr>
      <t>G(max)</t>
    </r>
    <r>
      <rPr>
        <sz val="11"/>
        <color theme="1"/>
        <rFont val="Arial"/>
        <family val="2"/>
      </rPr>
      <t>, calculated above and shown by the horizontal line, was calculated to be 1.4, then using Ln = 5 and Q</t>
    </r>
    <r>
      <rPr>
        <vertAlign val="subscript"/>
        <sz val="11"/>
        <color theme="1"/>
        <rFont val="Arial"/>
        <family val="2"/>
      </rPr>
      <t>E</t>
    </r>
    <r>
      <rPr>
        <sz val="11"/>
        <color theme="1"/>
        <rFont val="Arial"/>
        <family val="2"/>
      </rPr>
      <t xml:space="preserve"> = 0.35 would result in an attainable M</t>
    </r>
    <r>
      <rPr>
        <vertAlign val="subscript"/>
        <sz val="11"/>
        <color theme="1"/>
        <rFont val="Arial"/>
        <family val="2"/>
      </rPr>
      <t>G(PEAK)</t>
    </r>
    <r>
      <rPr>
        <sz val="11"/>
        <color theme="1"/>
        <rFont val="Arial"/>
        <family val="2"/>
      </rPr>
      <t xml:space="preserve"> = 1.52 (interpolated from Ln = 5 curve) which satisfies the requirement that the Attainable M</t>
    </r>
    <r>
      <rPr>
        <vertAlign val="subscript"/>
        <sz val="11"/>
        <color theme="1"/>
        <rFont val="Arial"/>
        <family val="2"/>
      </rPr>
      <t>G(PEAK)</t>
    </r>
    <r>
      <rPr>
        <sz val="11"/>
        <color theme="1"/>
        <rFont val="Arial"/>
        <family val="2"/>
      </rPr>
      <t xml:space="preserve"> &gt; M</t>
    </r>
    <r>
      <rPr>
        <vertAlign val="subscript"/>
        <sz val="11"/>
        <color theme="1"/>
        <rFont val="Arial"/>
        <family val="2"/>
      </rPr>
      <t>G(max)</t>
    </r>
  </si>
  <si>
    <r>
      <t>The selected L</t>
    </r>
    <r>
      <rPr>
        <vertAlign val="subscript"/>
        <sz val="11"/>
        <color theme="1"/>
        <rFont val="Arial"/>
        <family val="2"/>
      </rPr>
      <t>N</t>
    </r>
    <r>
      <rPr>
        <sz val="11"/>
        <color theme="1"/>
        <rFont val="Arial"/>
        <family val="2"/>
      </rPr>
      <t xml:space="preserve"> and Q</t>
    </r>
    <r>
      <rPr>
        <vertAlign val="subscript"/>
        <sz val="11"/>
        <color theme="1"/>
        <rFont val="Arial"/>
        <family val="2"/>
      </rPr>
      <t>E</t>
    </r>
    <r>
      <rPr>
        <sz val="11"/>
        <color theme="1"/>
        <rFont val="Arial"/>
        <family val="2"/>
      </rPr>
      <t xml:space="preserve"> values should result in an LLC Gain Curve, shown below, that intersects with the M</t>
    </r>
    <r>
      <rPr>
        <vertAlign val="subscript"/>
        <sz val="11"/>
        <color theme="1"/>
        <rFont val="Arial"/>
        <family val="2"/>
      </rPr>
      <t>G(min)</t>
    </r>
    <r>
      <rPr>
        <sz val="11"/>
        <color theme="1"/>
        <rFont val="Arial"/>
        <family val="2"/>
      </rPr>
      <t xml:space="preserve"> and M</t>
    </r>
    <r>
      <rPr>
        <vertAlign val="subscript"/>
        <sz val="11"/>
        <color theme="1"/>
        <rFont val="Arial"/>
        <family val="2"/>
      </rPr>
      <t>G(max)</t>
    </r>
    <r>
      <rPr>
        <sz val="11"/>
        <color theme="1"/>
        <rFont val="Arial"/>
        <family val="2"/>
      </rPr>
      <t xml:space="preserve"> traces. The Gain curve from an overload condition is also plotted, showing the minimum gain at maximum frequency.</t>
    </r>
  </si>
  <si>
    <r>
      <t>V</t>
    </r>
    <r>
      <rPr>
        <vertAlign val="subscript"/>
        <sz val="11"/>
        <color theme="1"/>
        <rFont val="ＭＳ Ｐゴシック"/>
        <family val="2"/>
        <scheme val="minor"/>
      </rPr>
      <t>Lr</t>
    </r>
  </si>
  <si>
    <r>
      <t>V</t>
    </r>
    <r>
      <rPr>
        <vertAlign val="subscript"/>
        <sz val="11"/>
        <color theme="1"/>
        <rFont val="ＭＳ Ｐゴシック"/>
        <family val="2"/>
        <scheme val="minor"/>
      </rPr>
      <t>CR</t>
    </r>
  </si>
  <si>
    <r>
      <t>V</t>
    </r>
    <r>
      <rPr>
        <vertAlign val="subscript"/>
        <sz val="11"/>
        <color theme="1"/>
        <rFont val="ＭＳ Ｐゴシック"/>
        <family val="2"/>
        <scheme val="minor"/>
      </rPr>
      <t>CR(rms)</t>
    </r>
  </si>
  <si>
    <r>
      <t>V</t>
    </r>
    <r>
      <rPr>
        <vertAlign val="subscript"/>
        <sz val="11"/>
        <color theme="1"/>
        <rFont val="ＭＳ Ｐゴシック"/>
        <family val="2"/>
        <scheme val="minor"/>
      </rPr>
      <t>CR(peak)</t>
    </r>
  </si>
  <si>
    <r>
      <t>C</t>
    </r>
    <r>
      <rPr>
        <vertAlign val="subscript"/>
        <sz val="11"/>
        <color theme="1"/>
        <rFont val="ＭＳ Ｐゴシック"/>
        <family val="2"/>
        <scheme val="minor"/>
      </rPr>
      <t>R(split)</t>
    </r>
  </si>
  <si>
    <t>BLK</t>
  </si>
  <si>
    <r>
      <t>V</t>
    </r>
    <r>
      <rPr>
        <vertAlign val="subscript"/>
        <sz val="11"/>
        <color theme="1"/>
        <rFont val="ＭＳ Ｐゴシック"/>
        <family val="2"/>
        <scheme val="minor"/>
      </rPr>
      <t>BLKpinstart</t>
    </r>
  </si>
  <si>
    <r>
      <t>V</t>
    </r>
    <r>
      <rPr>
        <vertAlign val="subscript"/>
        <sz val="11"/>
        <color theme="1"/>
        <rFont val="ＭＳ Ｐゴシック"/>
        <family val="2"/>
        <scheme val="minor"/>
      </rPr>
      <t>BLKpinstop</t>
    </r>
  </si>
  <si>
    <r>
      <t>V</t>
    </r>
    <r>
      <rPr>
        <vertAlign val="subscript"/>
        <sz val="11"/>
        <color theme="1"/>
        <rFont val="ＭＳ Ｐゴシック"/>
        <family val="2"/>
        <scheme val="minor"/>
      </rPr>
      <t>BLKpinOVrise</t>
    </r>
  </si>
  <si>
    <r>
      <t>V</t>
    </r>
    <r>
      <rPr>
        <vertAlign val="subscript"/>
        <sz val="11"/>
        <color theme="1"/>
        <rFont val="ＭＳ Ｐゴシック"/>
        <family val="2"/>
        <scheme val="minor"/>
      </rPr>
      <t>BLKpinOVfall</t>
    </r>
  </si>
  <si>
    <r>
      <t>V</t>
    </r>
    <r>
      <rPr>
        <vertAlign val="subscript"/>
        <sz val="11"/>
        <color theme="1"/>
        <rFont val="Calibri"/>
        <family val="2"/>
      </rPr>
      <t>BLKStart</t>
    </r>
  </si>
  <si>
    <r>
      <t>V</t>
    </r>
    <r>
      <rPr>
        <vertAlign val="subscript"/>
        <sz val="11"/>
        <color theme="1"/>
        <rFont val="ＭＳ Ｐゴシック"/>
        <family val="2"/>
        <scheme val="minor"/>
      </rPr>
      <t>BLK</t>
    </r>
  </si>
  <si>
    <r>
      <t>V</t>
    </r>
    <r>
      <rPr>
        <vertAlign val="subscript"/>
        <sz val="11"/>
        <color theme="1"/>
        <rFont val="ＭＳ Ｐゴシック"/>
        <family val="2"/>
        <scheme val="minor"/>
      </rPr>
      <t>BLKstop</t>
    </r>
  </si>
  <si>
    <r>
      <t>V</t>
    </r>
    <r>
      <rPr>
        <vertAlign val="subscript"/>
        <sz val="11"/>
        <color theme="1"/>
        <rFont val="ＭＳ Ｐゴシック"/>
        <family val="2"/>
        <scheme val="minor"/>
      </rPr>
      <t>BLKOVrise</t>
    </r>
  </si>
  <si>
    <r>
      <t>V</t>
    </r>
    <r>
      <rPr>
        <vertAlign val="subscript"/>
        <sz val="11"/>
        <color theme="1"/>
        <rFont val="ＭＳ Ｐゴシック"/>
        <family val="2"/>
        <scheme val="minor"/>
      </rPr>
      <t>BLKOVfall</t>
    </r>
  </si>
  <si>
    <r>
      <t>k</t>
    </r>
    <r>
      <rPr>
        <vertAlign val="subscript"/>
        <sz val="11"/>
        <color theme="1"/>
        <rFont val="ＭＳ Ｐゴシック"/>
        <family val="2"/>
        <scheme val="minor"/>
      </rPr>
      <t>BLK</t>
    </r>
  </si>
  <si>
    <r>
      <t>P</t>
    </r>
    <r>
      <rPr>
        <vertAlign val="subscript"/>
        <sz val="11"/>
        <color theme="1"/>
        <rFont val="ＭＳ Ｐゴシック"/>
        <family val="2"/>
        <scheme val="minor"/>
      </rPr>
      <t>BLKsns</t>
    </r>
  </si>
  <si>
    <r>
      <t>R</t>
    </r>
    <r>
      <rPr>
        <vertAlign val="subscript"/>
        <sz val="11"/>
        <color theme="1"/>
        <rFont val="ＭＳ Ｐゴシック"/>
        <family val="2"/>
        <scheme val="minor"/>
      </rPr>
      <t>BLKsns</t>
    </r>
  </si>
  <si>
    <t>MΩ</t>
  </si>
  <si>
    <t>kΩ</t>
  </si>
  <si>
    <t>SS</t>
  </si>
  <si>
    <t>VCR</t>
  </si>
  <si>
    <t>ISNS</t>
  </si>
  <si>
    <t>BW</t>
  </si>
  <si>
    <t>µA</t>
  </si>
  <si>
    <t>mA</t>
  </si>
  <si>
    <t>ms</t>
  </si>
  <si>
    <t>Ω</t>
  </si>
  <si>
    <t>nF</t>
  </si>
  <si>
    <t>%</t>
  </si>
  <si>
    <t>Calculate Vcr pin voltage</t>
  </si>
  <si>
    <t>Vcrpeak</t>
  </si>
  <si>
    <t>Vcompfullload</t>
  </si>
  <si>
    <t>Vcompresonant</t>
  </si>
  <si>
    <t>Calculate FB voltage at resonant frequency</t>
  </si>
  <si>
    <r>
      <t>I</t>
    </r>
    <r>
      <rPr>
        <vertAlign val="subscript"/>
        <sz val="11"/>
        <color indexed="8"/>
        <rFont val="Calibri"/>
        <family val="2"/>
      </rPr>
      <t>res(peak)</t>
    </r>
  </si>
  <si>
    <r>
      <t>V</t>
    </r>
    <r>
      <rPr>
        <vertAlign val="subscript"/>
        <sz val="11"/>
        <color indexed="8"/>
        <rFont val="Calibri"/>
        <family val="2"/>
      </rPr>
      <t>cr(pk-pk)</t>
    </r>
  </si>
  <si>
    <r>
      <t>V</t>
    </r>
    <r>
      <rPr>
        <vertAlign val="subscript"/>
        <sz val="11"/>
        <color indexed="8"/>
        <rFont val="Calibri"/>
        <family val="2"/>
      </rPr>
      <t>VCRpin(pk-pk)</t>
    </r>
  </si>
  <si>
    <r>
      <t>V</t>
    </r>
    <r>
      <rPr>
        <vertAlign val="subscript"/>
        <sz val="11"/>
        <color indexed="8"/>
        <rFont val="Calibri"/>
        <family val="2"/>
      </rPr>
      <t>CM</t>
    </r>
  </si>
  <si>
    <r>
      <t>V</t>
    </r>
    <r>
      <rPr>
        <vertAlign val="subscript"/>
        <sz val="11"/>
        <color indexed="8"/>
        <rFont val="Calibri"/>
        <family val="2"/>
      </rPr>
      <t>VCRmax</t>
    </r>
  </si>
  <si>
    <r>
      <t>V</t>
    </r>
    <r>
      <rPr>
        <vertAlign val="subscript"/>
        <sz val="11"/>
        <color indexed="8"/>
        <rFont val="Calibri"/>
        <family val="2"/>
      </rPr>
      <t>VCRmin</t>
    </r>
  </si>
  <si>
    <r>
      <t>k</t>
    </r>
    <r>
      <rPr>
        <vertAlign val="subscript"/>
        <sz val="11"/>
        <color indexed="8"/>
        <rFont val="Calibri"/>
        <family val="2"/>
      </rPr>
      <t>VCRramp</t>
    </r>
  </si>
  <si>
    <r>
      <t>I</t>
    </r>
    <r>
      <rPr>
        <vertAlign val="subscript"/>
        <sz val="11"/>
        <color indexed="8"/>
        <rFont val="Calibri"/>
        <family val="2"/>
      </rPr>
      <t>Ramp</t>
    </r>
  </si>
  <si>
    <r>
      <t>C</t>
    </r>
    <r>
      <rPr>
        <vertAlign val="subscript"/>
        <sz val="11"/>
        <color indexed="8"/>
        <rFont val="Calibri"/>
        <family val="2"/>
      </rPr>
      <t>VCRsns</t>
    </r>
  </si>
  <si>
    <r>
      <t>k</t>
    </r>
    <r>
      <rPr>
        <vertAlign val="subscript"/>
        <sz val="11"/>
        <color indexed="8"/>
        <rFont val="Calibri"/>
        <family val="2"/>
      </rPr>
      <t>CapDiv</t>
    </r>
  </si>
  <si>
    <r>
      <t>V</t>
    </r>
    <r>
      <rPr>
        <vertAlign val="subscript"/>
        <sz val="11"/>
        <color indexed="8"/>
        <rFont val="Calibri"/>
        <family val="2"/>
      </rPr>
      <t>Cr(valley)</t>
    </r>
  </si>
  <si>
    <r>
      <t>V</t>
    </r>
    <r>
      <rPr>
        <vertAlign val="subscript"/>
        <sz val="11"/>
        <color indexed="8"/>
        <rFont val="Calibri"/>
        <family val="2"/>
      </rPr>
      <t>ref</t>
    </r>
  </si>
  <si>
    <r>
      <t>I</t>
    </r>
    <r>
      <rPr>
        <vertAlign val="subscript"/>
        <sz val="11"/>
        <color indexed="8"/>
        <rFont val="Calibri"/>
        <family val="2"/>
      </rPr>
      <t>SSUp</t>
    </r>
  </si>
  <si>
    <r>
      <t>T</t>
    </r>
    <r>
      <rPr>
        <vertAlign val="subscript"/>
        <sz val="11"/>
        <color indexed="8"/>
        <rFont val="Calibri"/>
        <family val="2"/>
      </rPr>
      <t>SS</t>
    </r>
  </si>
  <si>
    <r>
      <t>C</t>
    </r>
    <r>
      <rPr>
        <vertAlign val="subscript"/>
        <sz val="11"/>
        <color indexed="8"/>
        <rFont val="Calibri"/>
        <family val="2"/>
      </rPr>
      <t>SS</t>
    </r>
  </si>
  <si>
    <r>
      <t>k</t>
    </r>
    <r>
      <rPr>
        <vertAlign val="subscript"/>
        <sz val="11"/>
        <color indexed="8"/>
        <rFont val="Calibri"/>
        <family val="2"/>
      </rPr>
      <t>Burst</t>
    </r>
  </si>
  <si>
    <r>
      <t>I</t>
    </r>
    <r>
      <rPr>
        <vertAlign val="subscript"/>
        <sz val="11"/>
        <color indexed="8"/>
        <rFont val="Calibri"/>
        <family val="2"/>
      </rPr>
      <t>BurstLoad</t>
    </r>
  </si>
  <si>
    <r>
      <t>V</t>
    </r>
    <r>
      <rPr>
        <vertAlign val="subscript"/>
        <sz val="11"/>
        <rFont val="Calibri"/>
        <family val="2"/>
      </rPr>
      <t>LL1</t>
    </r>
  </si>
  <si>
    <r>
      <t>V</t>
    </r>
    <r>
      <rPr>
        <vertAlign val="subscript"/>
        <sz val="11"/>
        <rFont val="Calibri"/>
        <family val="2"/>
      </rPr>
      <t>BLKPin1</t>
    </r>
  </si>
  <si>
    <r>
      <t>V</t>
    </r>
    <r>
      <rPr>
        <vertAlign val="subscript"/>
        <sz val="11"/>
        <rFont val="Calibri"/>
        <family val="2"/>
      </rPr>
      <t>LL2</t>
    </r>
  </si>
  <si>
    <r>
      <t>V</t>
    </r>
    <r>
      <rPr>
        <vertAlign val="subscript"/>
        <sz val="11"/>
        <rFont val="Calibri"/>
        <family val="2"/>
      </rPr>
      <t>BLKPin2</t>
    </r>
  </si>
  <si>
    <r>
      <t>R</t>
    </r>
    <r>
      <rPr>
        <vertAlign val="subscript"/>
        <sz val="11"/>
        <rFont val="Calibri"/>
        <family val="2"/>
      </rPr>
      <t>3</t>
    </r>
  </si>
  <si>
    <r>
      <t>ƞ</t>
    </r>
    <r>
      <rPr>
        <vertAlign val="subscript"/>
        <sz val="11"/>
        <color indexed="8"/>
        <rFont val="Calibri"/>
        <family val="2"/>
      </rPr>
      <t>OVP</t>
    </r>
  </si>
  <si>
    <r>
      <t>V</t>
    </r>
    <r>
      <rPr>
        <vertAlign val="subscript"/>
        <sz val="11"/>
        <color indexed="8"/>
        <rFont val="Calibri"/>
        <family val="2"/>
      </rPr>
      <t>BWOVP</t>
    </r>
  </si>
  <si>
    <r>
      <t>V</t>
    </r>
    <r>
      <rPr>
        <vertAlign val="subscript"/>
        <sz val="11"/>
        <color indexed="8"/>
        <rFont val="Calibri"/>
        <family val="2"/>
      </rPr>
      <t>BWpinNom</t>
    </r>
  </si>
  <si>
    <r>
      <t>V</t>
    </r>
    <r>
      <rPr>
        <vertAlign val="subscript"/>
        <sz val="11"/>
        <color indexed="8"/>
        <rFont val="Calibri"/>
        <family val="2"/>
      </rPr>
      <t>BiasWindingNom</t>
    </r>
  </si>
  <si>
    <r>
      <t>R</t>
    </r>
    <r>
      <rPr>
        <vertAlign val="subscript"/>
        <sz val="11"/>
        <color indexed="8"/>
        <rFont val="Calibri"/>
        <family val="2"/>
      </rPr>
      <t>BWlower</t>
    </r>
  </si>
  <si>
    <r>
      <t>R</t>
    </r>
    <r>
      <rPr>
        <vertAlign val="subscript"/>
        <sz val="11"/>
        <color indexed="8"/>
        <rFont val="Calibri"/>
        <family val="2"/>
      </rPr>
      <t>BWupper</t>
    </r>
  </si>
  <si>
    <r>
      <t>C</t>
    </r>
    <r>
      <rPr>
        <vertAlign val="subscript"/>
        <sz val="11"/>
        <color indexed="8"/>
        <rFont val="Calibri"/>
        <family val="2"/>
      </rPr>
      <t>ISNS</t>
    </r>
  </si>
  <si>
    <r>
      <t>R</t>
    </r>
    <r>
      <rPr>
        <vertAlign val="subscript"/>
        <sz val="11"/>
        <color indexed="8"/>
        <rFont val="Calibri"/>
        <family val="2"/>
      </rPr>
      <t>ISNS</t>
    </r>
  </si>
  <si>
    <t>Enter the maximum allowable input voltage ripple</t>
  </si>
  <si>
    <t>Enter the nominal input voltage</t>
  </si>
  <si>
    <t>Enter desired nominal LLC switching frequency</t>
  </si>
  <si>
    <t>KΩ</t>
  </si>
  <si>
    <t>Enter the desired power consumption for resistor divider</t>
  </si>
  <si>
    <t>Enter the actual value of the lower BLK sense resistor used</t>
  </si>
  <si>
    <t>Enter the required soft start time at full load</t>
  </si>
  <si>
    <t>Enter the actual SS capacitance value</t>
  </si>
  <si>
    <t>Enter the burst mode threshold - percentage of full load</t>
  </si>
  <si>
    <t>Enter Bias winding lower resistor value</t>
  </si>
  <si>
    <t>Enter the actual current sense resistor value</t>
  </si>
  <si>
    <t>Enter the actual Capacitor divider value - upper cap</t>
  </si>
  <si>
    <t>Enter the actual Capacitor divider value - lower cap</t>
  </si>
  <si>
    <t>Enter the actual LL resistor divider upper resistor value</t>
  </si>
  <si>
    <t>Enter the actual LL resistor divider lower resistor value</t>
  </si>
  <si>
    <t>Enter the actual BW filter capacitor value</t>
  </si>
  <si>
    <r>
      <t>R</t>
    </r>
    <r>
      <rPr>
        <vertAlign val="subscript"/>
        <sz val="11"/>
        <rFont val="Calibri"/>
        <family val="2"/>
      </rPr>
      <t>LLupper</t>
    </r>
  </si>
  <si>
    <r>
      <t>R</t>
    </r>
    <r>
      <rPr>
        <vertAlign val="subscript"/>
        <sz val="11"/>
        <rFont val="Calibri"/>
        <family val="2"/>
      </rPr>
      <t>LLlower</t>
    </r>
  </si>
  <si>
    <r>
      <t>C</t>
    </r>
    <r>
      <rPr>
        <vertAlign val="subscript"/>
        <sz val="11"/>
        <color indexed="8"/>
        <rFont val="Calibri"/>
        <family val="2"/>
      </rPr>
      <t>VCRupper</t>
    </r>
  </si>
  <si>
    <r>
      <t>C</t>
    </r>
    <r>
      <rPr>
        <vertAlign val="subscript"/>
        <sz val="11"/>
        <color indexed="8"/>
        <rFont val="Calibri"/>
        <family val="2"/>
      </rPr>
      <t>VCRlower</t>
    </r>
  </si>
  <si>
    <r>
      <t>R</t>
    </r>
    <r>
      <rPr>
        <vertAlign val="subscript"/>
        <sz val="11"/>
        <color theme="1"/>
        <rFont val="ＭＳ Ｐゴシック"/>
        <family val="2"/>
        <scheme val="minor"/>
      </rPr>
      <t>BLKupper</t>
    </r>
  </si>
  <si>
    <r>
      <t>R</t>
    </r>
    <r>
      <rPr>
        <vertAlign val="subscript"/>
        <sz val="11"/>
        <color theme="1"/>
        <rFont val="ＭＳ Ｐゴシック"/>
        <family val="2"/>
        <scheme val="minor"/>
      </rPr>
      <t>BLKlower</t>
    </r>
  </si>
  <si>
    <t>RefDes</t>
  </si>
  <si>
    <t xml:space="preserve">Value </t>
  </si>
  <si>
    <t>Unit</t>
  </si>
  <si>
    <t>Lr</t>
  </si>
  <si>
    <t>Lm</t>
  </si>
  <si>
    <t>Cr</t>
  </si>
  <si>
    <t>uF</t>
  </si>
  <si>
    <t>Enter the maximum input voltage</t>
  </si>
  <si>
    <r>
      <t>R</t>
    </r>
    <r>
      <rPr>
        <vertAlign val="subscript"/>
        <sz val="11"/>
        <color indexed="8"/>
        <rFont val="Calibri"/>
        <family val="2"/>
      </rPr>
      <t>E</t>
    </r>
  </si>
  <si>
    <t>uA</t>
  </si>
  <si>
    <t>Enter the minimum input voltage</t>
  </si>
  <si>
    <t>Enter the predicted voltage drop due to conversion losses in circuit</t>
  </si>
  <si>
    <t>Enter the actual Transformer Magnetizing Inductance used</t>
  </si>
  <si>
    <r>
      <t>Re-enter this value in the Q</t>
    </r>
    <r>
      <rPr>
        <vertAlign val="subscript"/>
        <sz val="11"/>
        <color rgb="FFFF0000"/>
        <rFont val="ＭＳ Ｐゴシック"/>
        <family val="2"/>
        <scheme val="minor"/>
      </rPr>
      <t>E(selected)</t>
    </r>
    <r>
      <rPr>
        <sz val="11"/>
        <color rgb="FFFF0000"/>
        <rFont val="ＭＳ Ｐゴシック"/>
        <family val="2"/>
        <scheme val="minor"/>
      </rPr>
      <t xml:space="preserve"> cell above to see the actual normalized frequency at M</t>
    </r>
    <r>
      <rPr>
        <vertAlign val="subscript"/>
        <sz val="11"/>
        <color rgb="FFFF0000"/>
        <rFont val="ＭＳ Ｐゴシック"/>
        <family val="2"/>
        <scheme val="minor"/>
      </rPr>
      <t>G(max)</t>
    </r>
    <r>
      <rPr>
        <sz val="11"/>
        <color rgb="FFFF0000"/>
        <rFont val="ＭＳ Ｐゴシック"/>
        <family val="2"/>
        <scheme val="minor"/>
      </rPr>
      <t xml:space="preserve"> and M</t>
    </r>
    <r>
      <rPr>
        <vertAlign val="subscript"/>
        <sz val="11"/>
        <color rgb="FFFF0000"/>
        <rFont val="ＭＳ Ｐゴシック"/>
        <family val="2"/>
        <scheme val="minor"/>
      </rPr>
      <t>G(min)</t>
    </r>
  </si>
  <si>
    <r>
      <t>Re-enter this value in the L</t>
    </r>
    <r>
      <rPr>
        <vertAlign val="subscript"/>
        <sz val="11"/>
        <color rgb="FFFF0000"/>
        <rFont val="ＭＳ Ｐゴシック"/>
        <family val="2"/>
        <scheme val="minor"/>
      </rPr>
      <t>N(selected)</t>
    </r>
    <r>
      <rPr>
        <sz val="11"/>
        <color rgb="FFFF0000"/>
        <rFont val="ＭＳ Ｐゴシック"/>
        <family val="2"/>
        <scheme val="minor"/>
      </rPr>
      <t xml:space="preserve"> cell above to see the actual normalized frequency at M</t>
    </r>
    <r>
      <rPr>
        <vertAlign val="subscript"/>
        <sz val="11"/>
        <color rgb="FFFF0000"/>
        <rFont val="ＭＳ Ｐゴシック"/>
        <family val="2"/>
        <scheme val="minor"/>
      </rPr>
      <t>G(max)</t>
    </r>
    <r>
      <rPr>
        <sz val="11"/>
        <color rgb="FFFF0000"/>
        <rFont val="ＭＳ Ｐゴシック"/>
        <family val="2"/>
        <scheme val="minor"/>
      </rPr>
      <t xml:space="preserve"> and M</t>
    </r>
    <r>
      <rPr>
        <vertAlign val="subscript"/>
        <sz val="11"/>
        <color rgb="FFFF0000"/>
        <rFont val="ＭＳ Ｐゴシック"/>
        <family val="2"/>
        <scheme val="minor"/>
      </rPr>
      <t>G(min)</t>
    </r>
  </si>
  <si>
    <r>
      <t>Enter f</t>
    </r>
    <r>
      <rPr>
        <vertAlign val="subscript"/>
        <sz val="11"/>
        <color rgb="FFFF0000"/>
        <rFont val="ＭＳ Ｐゴシック"/>
        <family val="2"/>
        <scheme val="minor"/>
      </rPr>
      <t>N</t>
    </r>
    <r>
      <rPr>
        <sz val="11"/>
        <color rgb="FFFF0000"/>
        <rFont val="ＭＳ Ｐゴシック"/>
        <family val="2"/>
        <scheme val="minor"/>
      </rPr>
      <t xml:space="preserve"> value at the second intersection of the M</t>
    </r>
    <r>
      <rPr>
        <vertAlign val="subscript"/>
        <sz val="11"/>
        <color rgb="FFFF0000"/>
        <rFont val="ＭＳ Ｐゴシック"/>
        <family val="2"/>
        <scheme val="minor"/>
      </rPr>
      <t>G(max)</t>
    </r>
    <r>
      <rPr>
        <sz val="11"/>
        <color rgb="FFFF0000"/>
        <rFont val="ＭＳ Ｐゴシック"/>
        <family val="2"/>
        <scheme val="minor"/>
      </rPr>
      <t xml:space="preserve"> line and LLC Gain Curve shown in figure above</t>
    </r>
  </si>
  <si>
    <r>
      <t>Enter f</t>
    </r>
    <r>
      <rPr>
        <vertAlign val="subscript"/>
        <sz val="11"/>
        <color rgb="FFFF0000"/>
        <rFont val="ＭＳ Ｐゴシック"/>
        <family val="2"/>
        <scheme val="minor"/>
      </rPr>
      <t>N</t>
    </r>
    <r>
      <rPr>
        <sz val="11"/>
        <color rgb="FFFF0000"/>
        <rFont val="ＭＳ Ｐゴシック"/>
        <family val="2"/>
        <scheme val="minor"/>
      </rPr>
      <t xml:space="preserve"> value at the second intersection of the M</t>
    </r>
    <r>
      <rPr>
        <vertAlign val="subscript"/>
        <sz val="11"/>
        <color rgb="FFFF0000"/>
        <rFont val="ＭＳ Ｐゴシック"/>
        <family val="2"/>
        <scheme val="minor"/>
      </rPr>
      <t>G(min)</t>
    </r>
    <r>
      <rPr>
        <sz val="11"/>
        <color rgb="FFFF0000"/>
        <rFont val="ＭＳ Ｐゴシック"/>
        <family val="2"/>
        <scheme val="minor"/>
      </rPr>
      <t xml:space="preserve"> line and LLC Gain Curve shown in figure above</t>
    </r>
  </si>
  <si>
    <t>Enter the actual value of the upper BLK sense resistor used</t>
  </si>
  <si>
    <t>Temporarily change Re from 0 to 10KΩ here. Change Re back to 0 once LL section is done</t>
  </si>
  <si>
    <t>Enter the OVP threshold (percentage)</t>
  </si>
  <si>
    <r>
      <t>k</t>
    </r>
    <r>
      <rPr>
        <vertAlign val="subscript"/>
        <sz val="11"/>
        <color indexed="8"/>
        <rFont val="Calibri"/>
        <family val="2"/>
      </rPr>
      <t>BW</t>
    </r>
  </si>
  <si>
    <r>
      <t>k</t>
    </r>
    <r>
      <rPr>
        <vertAlign val="subscript"/>
        <sz val="11"/>
        <color indexed="8"/>
        <rFont val="Calibri"/>
        <family val="2"/>
      </rPr>
      <t>ISNS</t>
    </r>
  </si>
  <si>
    <t>Enter actual Bias winding upper resistor value</t>
  </si>
  <si>
    <t>Enter the desired OCP threshold (percentage)</t>
  </si>
  <si>
    <t>Enter the voltage measured on Re at IBurstLoad and maximum input voltage</t>
  </si>
  <si>
    <t xml:space="preserve">Enter the voltage measured on Re at IBurstLoad and minimum input voltage </t>
  </si>
  <si>
    <t>Output Voltage</t>
  </si>
  <si>
    <t>Maximum Output Power</t>
  </si>
  <si>
    <t>Full Load Output Current</t>
  </si>
  <si>
    <t>Maximum Output Voltage Ripple</t>
  </si>
  <si>
    <t>OUTPUT</t>
  </si>
  <si>
    <t>INPUT</t>
  </si>
  <si>
    <t>Nominal Input Voltage</t>
  </si>
  <si>
    <r>
      <t>Maximum V</t>
    </r>
    <r>
      <rPr>
        <vertAlign val="subscript"/>
        <sz val="11"/>
        <color theme="1"/>
        <rFont val="ＭＳ Ｐゴシック"/>
        <family val="2"/>
        <scheme val="minor"/>
      </rPr>
      <t>BLK</t>
    </r>
    <r>
      <rPr>
        <sz val="11"/>
        <color theme="1"/>
        <rFont val="ＭＳ Ｐゴシック"/>
        <family val="2"/>
        <scheme val="minor"/>
      </rPr>
      <t xml:space="preserve"> Ripple (2 x Line Frequency)</t>
    </r>
  </si>
  <si>
    <t>Maximum DC Input Voltage</t>
  </si>
  <si>
    <t>Minimum DC Input Voltage</t>
  </si>
  <si>
    <t>LLC STAGE</t>
  </si>
  <si>
    <t>Nominal LLC Switching Frequency</t>
  </si>
  <si>
    <t>LLC Effective Load Resistance at 110% Full Load</t>
  </si>
  <si>
    <t>LLC Effective Load Resistance at Full Load</t>
  </si>
  <si>
    <t>LLC Gain Range</t>
  </si>
  <si>
    <t>Minimum LLC Gain</t>
  </si>
  <si>
    <t>Maximum LLC Gain Including Losses</t>
  </si>
  <si>
    <t>Predicted Voltage Drop Due to Losses</t>
  </si>
  <si>
    <t>Selected Primary Inductance Ratio</t>
  </si>
  <si>
    <t>Selected Quality Factor for Resonant Network</t>
  </si>
  <si>
    <t>Gain Required at No-Load</t>
  </si>
  <si>
    <r>
      <t>f</t>
    </r>
    <r>
      <rPr>
        <vertAlign val="subscript"/>
        <sz val="11"/>
        <color theme="1"/>
        <rFont val="ＭＳ Ｐゴシック"/>
        <family val="2"/>
        <scheme val="minor"/>
      </rPr>
      <t>N</t>
    </r>
    <r>
      <rPr>
        <sz val="11"/>
        <color theme="1"/>
        <rFont val="ＭＳ Ｐゴシック"/>
        <family val="2"/>
        <scheme val="minor"/>
      </rPr>
      <t xml:space="preserve"> at Maximum Switching Frequency</t>
    </r>
  </si>
  <si>
    <t>Recommended Resonant Capacitor Value</t>
  </si>
  <si>
    <t>Actual Total Value of Resonant Capacitor Used</t>
  </si>
  <si>
    <t>Recommended Resonant Inductor Value</t>
  </si>
  <si>
    <t>Actual Resonant Inductor Value Used</t>
  </si>
  <si>
    <t>Recommended Transformer Magnetizing Inductance</t>
  </si>
  <si>
    <t>Actual Transformer Magnetizing Inductance Used</t>
  </si>
  <si>
    <t>Resultant Series Resonant Frequency</t>
  </si>
  <si>
    <t>No Load Resonant Frequency</t>
  </si>
  <si>
    <t>Resultant Inductance Ratio</t>
  </si>
  <si>
    <t>Resultant Quality Factor at Full Load</t>
  </si>
  <si>
    <r>
      <t>f</t>
    </r>
    <r>
      <rPr>
        <vertAlign val="subscript"/>
        <sz val="11"/>
        <color theme="1"/>
        <rFont val="ＭＳ Ｐゴシック"/>
        <family val="2"/>
        <scheme val="minor"/>
      </rPr>
      <t>N</t>
    </r>
    <r>
      <rPr>
        <sz val="11"/>
        <color theme="1"/>
        <rFont val="ＭＳ Ｐゴシック"/>
        <family val="2"/>
        <scheme val="minor"/>
      </rPr>
      <t xml:space="preserve"> at M</t>
    </r>
    <r>
      <rPr>
        <vertAlign val="subscript"/>
        <sz val="11"/>
        <color theme="1"/>
        <rFont val="ＭＳ Ｐゴシック"/>
        <family val="2"/>
        <scheme val="minor"/>
      </rPr>
      <t>G(max)</t>
    </r>
  </si>
  <si>
    <r>
      <t>f</t>
    </r>
    <r>
      <rPr>
        <vertAlign val="subscript"/>
        <sz val="11"/>
        <color theme="1"/>
        <rFont val="ＭＳ Ｐゴシック"/>
        <family val="2"/>
        <scheme val="minor"/>
      </rPr>
      <t>N</t>
    </r>
    <r>
      <rPr>
        <sz val="11"/>
        <color theme="1"/>
        <rFont val="ＭＳ Ｐゴシック"/>
        <family val="2"/>
        <scheme val="minor"/>
      </rPr>
      <t xml:space="preserve"> at M</t>
    </r>
    <r>
      <rPr>
        <vertAlign val="subscript"/>
        <sz val="11"/>
        <color theme="1"/>
        <rFont val="ＭＳ Ｐゴシック"/>
        <family val="2"/>
        <scheme val="minor"/>
      </rPr>
      <t>G(min)</t>
    </r>
  </si>
  <si>
    <t>Maximum Switching Frequency</t>
  </si>
  <si>
    <t>Minimum Switching Frequency</t>
  </si>
  <si>
    <t>Primary Side RMS Load Current</t>
  </si>
  <si>
    <r>
      <t>RMS Magnetizing Current at f</t>
    </r>
    <r>
      <rPr>
        <vertAlign val="subscript"/>
        <sz val="11"/>
        <color theme="1"/>
        <rFont val="ＭＳ Ｐゴシック"/>
        <family val="2"/>
        <scheme val="minor"/>
      </rPr>
      <t>SW(min)</t>
    </r>
  </si>
  <si>
    <t>Total Current in Resonant Circuit</t>
  </si>
  <si>
    <t>Secondary RMS Current</t>
  </si>
  <si>
    <t>Current in Each Center Tapped Winding</t>
  </si>
  <si>
    <t>Terminal AC Voltage Across Resonant Inductor</t>
  </si>
  <si>
    <t>Inductance</t>
  </si>
  <si>
    <t>Rated Current</t>
  </si>
  <si>
    <t>AC Voltage Across Resonant Capacitor</t>
  </si>
  <si>
    <t>RMS Voltage Across Resonant Capacitor</t>
  </si>
  <si>
    <t>Peak Voltage AC Voltage Rating for Resonant Capacitor</t>
  </si>
  <si>
    <t>Valley Voltage on Resonant Capacitor</t>
  </si>
  <si>
    <t>Rated Current of Resonant Capacitor</t>
  </si>
  <si>
    <t>Minimum Voltage Rating of LLC MOSFETs</t>
  </si>
  <si>
    <t>RMS Current Rating of LLC MOSFETs</t>
  </si>
  <si>
    <t>Minimum Voltage Rating for LLC Output Diodes</t>
  </si>
  <si>
    <t>Minimum Current Rating for LLC Output Diodes</t>
  </si>
  <si>
    <r>
      <t>C</t>
    </r>
    <r>
      <rPr>
        <vertAlign val="subscript"/>
        <sz val="11"/>
        <color theme="1"/>
        <rFont val="ＭＳ Ｐゴシック"/>
        <family val="2"/>
        <scheme val="minor"/>
      </rPr>
      <t>OUT</t>
    </r>
    <r>
      <rPr>
        <sz val="11"/>
        <color theme="1"/>
        <rFont val="ＭＳ Ｐゴシック"/>
        <family val="2"/>
        <scheme val="minor"/>
      </rPr>
      <t xml:space="preserve"> Minimum Voltage Rating</t>
    </r>
  </si>
  <si>
    <r>
      <t>C</t>
    </r>
    <r>
      <rPr>
        <vertAlign val="subscript"/>
        <sz val="11"/>
        <color theme="1"/>
        <rFont val="ＭＳ Ｐゴシック"/>
        <family val="2"/>
        <scheme val="minor"/>
      </rPr>
      <t>OUT</t>
    </r>
    <r>
      <rPr>
        <sz val="11"/>
        <color theme="1"/>
        <rFont val="ＭＳ Ｐゴシック"/>
        <family val="2"/>
        <scheme val="minor"/>
      </rPr>
      <t xml:space="preserve"> Maximum ESR</t>
    </r>
  </si>
  <si>
    <t>BLK Pin Start Threshold</t>
  </si>
  <si>
    <t>BLK Pin Stop Threshold</t>
  </si>
  <si>
    <t>BLK Pin OV Rise Threshold</t>
  </si>
  <si>
    <t>BLK Pin OV Fall Threshold</t>
  </si>
  <si>
    <t>Desired Bulk Start Voltage</t>
  </si>
  <si>
    <t>Actual Bulk Start Voltage</t>
  </si>
  <si>
    <t>Nominal Bulk Voltage</t>
  </si>
  <si>
    <t>Bulk Stop Voltage</t>
  </si>
  <si>
    <t>Bulk OV Rise Voltage</t>
  </si>
  <si>
    <t>Bulk OV Fall Voltage</t>
  </si>
  <si>
    <t>Resistor Divider Ratio</t>
  </si>
  <si>
    <t>Resistor Divider Power Consumption Budget</t>
  </si>
  <si>
    <t>Total BLK Sense Resistor Value</t>
  </si>
  <si>
    <t>Recommended Upper BLK Sense Resistor Value</t>
  </si>
  <si>
    <t>Actual Upper BLK Sense Resistor Value</t>
  </si>
  <si>
    <t>Recommended Lower BLK Sense Resistor Value</t>
  </si>
  <si>
    <t>Actual Lower BLK Sense Resistor Value</t>
  </si>
  <si>
    <t>Peak Resonant Current at Full Load</t>
  </si>
  <si>
    <t>Peak to Peak Resonant Capacitor Voltage at Full Load</t>
  </si>
  <si>
    <t>Maximum Working Voltage Range of VCR Pin</t>
  </si>
  <si>
    <t>Common Mode Voltage of VCR Pin</t>
  </si>
  <si>
    <t>Maximum VCR Voltage</t>
  </si>
  <si>
    <t>Minimum VCR Voltage</t>
  </si>
  <si>
    <r>
      <t>Ratio of I</t>
    </r>
    <r>
      <rPr>
        <vertAlign val="subscript"/>
        <sz val="11"/>
        <color indexed="8"/>
        <rFont val="Calibri"/>
        <family val="2"/>
      </rPr>
      <t>Ramp</t>
    </r>
    <r>
      <rPr>
        <sz val="11"/>
        <color indexed="8"/>
        <rFont val="Calibri"/>
        <family val="2"/>
      </rPr>
      <t xml:space="preserve"> vs. the Peak Current in Capacitor Divider</t>
    </r>
  </si>
  <si>
    <t>Compensation Ramp Current Source Value</t>
  </si>
  <si>
    <t>Total Capacitance of the Capacitor Divider</t>
  </si>
  <si>
    <t>Capacitor Divider Ratio</t>
  </si>
  <si>
    <t>Recommended Capacitor Divider Value - Upper Cap</t>
  </si>
  <si>
    <t>Actual Capacitor Divider Value - Upper Cap</t>
  </si>
  <si>
    <t>Recommended Capacitor Divider Value - Lower Cap</t>
  </si>
  <si>
    <t>Actual Capacitor Divider Value - Lower Cap</t>
  </si>
  <si>
    <r>
      <t>The above are estimated capacitor values without considering I</t>
    </r>
    <r>
      <rPr>
        <vertAlign val="subscript"/>
        <sz val="11"/>
        <color indexed="8"/>
        <rFont val="Calibri"/>
        <family val="2"/>
      </rPr>
      <t>ramp</t>
    </r>
    <r>
      <rPr>
        <sz val="11"/>
        <color indexed="8"/>
        <rFont val="Calibri"/>
        <family val="2"/>
      </rPr>
      <t>'s contribution to VCR</t>
    </r>
  </si>
  <si>
    <r>
      <t>Now consider I</t>
    </r>
    <r>
      <rPr>
        <vertAlign val="subscript"/>
        <sz val="11"/>
        <color indexed="8"/>
        <rFont val="Calibri"/>
        <family val="2"/>
      </rPr>
      <t>ramp</t>
    </r>
    <r>
      <rPr>
        <sz val="11"/>
        <color indexed="8"/>
        <rFont val="Calibri"/>
        <family val="2"/>
      </rPr>
      <t>, calculate FB voltage at full load</t>
    </r>
  </si>
  <si>
    <t>SS Internal Reference Voltage</t>
  </si>
  <si>
    <t>SS Current Source Value</t>
  </si>
  <si>
    <t>Required Soft Start Time at Full Load</t>
  </si>
  <si>
    <t>Actual Soft Start Time at Full Load</t>
  </si>
  <si>
    <t>Recommended SS Capacitance Value</t>
  </si>
  <si>
    <t>Actual SS Capacitance Value</t>
  </si>
  <si>
    <t>Required Burst Mode Threshold - Percentage of Full Load</t>
  </si>
  <si>
    <t>Required Burst Mode Threshold - Load Current</t>
  </si>
  <si>
    <t>Re Value</t>
  </si>
  <si>
    <r>
      <t>Voltage on Re at I</t>
    </r>
    <r>
      <rPr>
        <vertAlign val="subscript"/>
        <sz val="11"/>
        <color indexed="8"/>
        <rFont val="Calibri"/>
        <family val="2"/>
      </rPr>
      <t>BurstLoad</t>
    </r>
    <r>
      <rPr>
        <sz val="11"/>
        <color indexed="8"/>
        <rFont val="Calibri"/>
        <family val="2"/>
      </rPr>
      <t xml:space="preserve"> and Maximum Input Voltage</t>
    </r>
  </si>
  <si>
    <t>Internal Current Source on FB Pin</t>
  </si>
  <si>
    <r>
      <t>FB Pin Voltage at I</t>
    </r>
    <r>
      <rPr>
        <vertAlign val="subscript"/>
        <sz val="11"/>
        <color indexed="8"/>
        <rFont val="Calibri"/>
        <family val="2"/>
      </rPr>
      <t>BurstLoad</t>
    </r>
    <r>
      <rPr>
        <sz val="11"/>
        <color indexed="8"/>
        <rFont val="Calibri"/>
        <family val="2"/>
      </rPr>
      <t xml:space="preserve"> and Maximum Input Voltage</t>
    </r>
  </si>
  <si>
    <t>BLK Pin Voltage at Maximum Input Voltage</t>
  </si>
  <si>
    <r>
      <t>Voltage on Re at I</t>
    </r>
    <r>
      <rPr>
        <vertAlign val="subscript"/>
        <sz val="11"/>
        <color indexed="8"/>
        <rFont val="Calibri"/>
        <family val="2"/>
      </rPr>
      <t>BurstLoad</t>
    </r>
    <r>
      <rPr>
        <sz val="11"/>
        <color indexed="8"/>
        <rFont val="Calibri"/>
        <family val="2"/>
      </rPr>
      <t xml:space="preserve"> and Minimum Input Voltage </t>
    </r>
  </si>
  <si>
    <r>
      <t>FB Pin Voltage at I</t>
    </r>
    <r>
      <rPr>
        <vertAlign val="subscript"/>
        <sz val="11"/>
        <color indexed="8"/>
        <rFont val="Calibri"/>
        <family val="2"/>
      </rPr>
      <t>BurstLoad</t>
    </r>
    <r>
      <rPr>
        <sz val="11"/>
        <color indexed="8"/>
        <rFont val="Calibri"/>
        <family val="2"/>
      </rPr>
      <t xml:space="preserve"> and Minimum Input Voltage </t>
    </r>
  </si>
  <si>
    <t>BLK Pin Voltage at Minimum Input Voltage</t>
  </si>
  <si>
    <t>Recommended LL Resistor Divider Upper Resistor Value</t>
  </si>
  <si>
    <t>Actual LL Resistor Divider Upper Resistor Value</t>
  </si>
  <si>
    <t>Recommended LL Resistor Divider Lower Resistor Value</t>
  </si>
  <si>
    <t>Actual LL Resistor Divider Lower Resistor Value</t>
  </si>
  <si>
    <t>Internal LL Resistor Value</t>
  </si>
  <si>
    <r>
      <t>Desired OVP Threshold Percentage of Nominal V</t>
    </r>
    <r>
      <rPr>
        <vertAlign val="subscript"/>
        <sz val="11"/>
        <color indexed="8"/>
        <rFont val="Calibri"/>
        <family val="2"/>
      </rPr>
      <t>out</t>
    </r>
  </si>
  <si>
    <r>
      <t>Actual OVP Threshold Percentage of Nominal V</t>
    </r>
    <r>
      <rPr>
        <vertAlign val="subscript"/>
        <sz val="11"/>
        <color indexed="8"/>
        <rFont val="Calibri"/>
        <family val="2"/>
      </rPr>
      <t>out</t>
    </r>
  </si>
  <si>
    <t>OVP Threshold</t>
  </si>
  <si>
    <r>
      <t>BW Pin Voltage at Nominal V</t>
    </r>
    <r>
      <rPr>
        <vertAlign val="subscript"/>
        <sz val="11"/>
        <color indexed="8"/>
        <rFont val="Calibri"/>
        <family val="2"/>
      </rPr>
      <t>out</t>
    </r>
  </si>
  <si>
    <t>Bias Winding Nominal Voltage</t>
  </si>
  <si>
    <t>Bias Winding Resistor Divider Ratio</t>
  </si>
  <si>
    <t>Actual Bias Winding Lower Resistor Value</t>
  </si>
  <si>
    <t>Recommended Bias Winding Upper Resistor Value</t>
  </si>
  <si>
    <t>Actual Bias Winding Upper Resistor Value</t>
  </si>
  <si>
    <t>BW Filter Capacitor Needed so That the Bandwidth is 50 Times the Resonant Frequency</t>
  </si>
  <si>
    <t xml:space="preserve">Actual BW Filter Capacitor </t>
  </si>
  <si>
    <t>OCP3 Threshold</t>
  </si>
  <si>
    <t>OCP2 Threshold</t>
  </si>
  <si>
    <t>OCP1 Threshold</t>
  </si>
  <si>
    <t>Desired OCP3 Threshold (Percentage of Full Load at Nominal Input Voltage)</t>
  </si>
  <si>
    <t>Calculated OCP2 Level (Percentage of Full Load at Nominal Input Voltage)</t>
  </si>
  <si>
    <t>Sensed Average Input Current Level at Full Load</t>
  </si>
  <si>
    <t>Current Sense Ratio</t>
  </si>
  <si>
    <t>Select a Current Sense Capacitor</t>
  </si>
  <si>
    <t xml:space="preserve">Recommended Current Sense Resistor </t>
  </si>
  <si>
    <t>Actual Current Sense Resistor</t>
  </si>
  <si>
    <r>
      <t>Peak V</t>
    </r>
    <r>
      <rPr>
        <vertAlign val="subscript"/>
        <sz val="11"/>
        <color indexed="8"/>
        <rFont val="Calibri"/>
        <family val="2"/>
      </rPr>
      <t>ISNS</t>
    </r>
    <r>
      <rPr>
        <sz val="11"/>
        <color indexed="8"/>
        <rFont val="Calibri"/>
        <family val="2"/>
      </rPr>
      <t xml:space="preserve"> at Full Load</t>
    </r>
  </si>
  <si>
    <t>Ires peak at OCP1 Level</t>
  </si>
  <si>
    <t>Isec peak at OCP1 Level</t>
  </si>
  <si>
    <t>TI Literature Number:SLUC634</t>
  </si>
  <si>
    <t>Recommended Primary/Secondary Turns Ratio</t>
  </si>
  <si>
    <r>
      <t>N</t>
    </r>
    <r>
      <rPr>
        <vertAlign val="subscript"/>
        <sz val="11"/>
        <color theme="1"/>
        <rFont val="ＭＳ Ｐゴシック"/>
        <family val="2"/>
        <scheme val="minor"/>
      </rPr>
      <t>PS(recommended)</t>
    </r>
  </si>
  <si>
    <t>Actual Primary/Secondary Turns Ratio</t>
  </si>
  <si>
    <t>Enter Actual Primary/Secondary Turns Ratio</t>
  </si>
  <si>
    <t>Recommended Primary/Bias Turns Ratio</t>
  </si>
  <si>
    <t>Actual Primary/Bias Turns Ratio</t>
  </si>
  <si>
    <t>Enter Actual Primary/Bias Turns Ratio</t>
  </si>
  <si>
    <r>
      <t>N</t>
    </r>
    <r>
      <rPr>
        <vertAlign val="subscript"/>
        <sz val="11"/>
        <color theme="1"/>
        <rFont val="ＭＳ Ｐゴシック"/>
        <family val="2"/>
        <scheme val="minor"/>
      </rPr>
      <t>PB</t>
    </r>
  </si>
  <si>
    <r>
      <t>N</t>
    </r>
    <r>
      <rPr>
        <vertAlign val="subscript"/>
        <sz val="11"/>
        <color theme="1"/>
        <rFont val="ＭＳ Ｐゴシック"/>
        <family val="2"/>
        <scheme val="minor"/>
      </rPr>
      <t>PB(recommended)</t>
    </r>
  </si>
  <si>
    <t>List of device</t>
  </si>
  <si>
    <t>Select Which Device You Are Using</t>
  </si>
  <si>
    <t>Target Efficiency</t>
  </si>
  <si>
    <t>Enter actual value of Resonant Capacitor used</t>
  </si>
  <si>
    <t>Value of EACH Resonant Capacitor If Using Split Resonant Capacitors</t>
  </si>
  <si>
    <t>LLC Output Rectifier Diodes/Synchronous rectifiers</t>
  </si>
  <si>
    <t>LL (this section may be ignored for initial design and populated once hardware is available)</t>
  </si>
  <si>
    <r>
      <t>Enter the current sense capacitor value such that the calculated R</t>
    </r>
    <r>
      <rPr>
        <vertAlign val="subscript"/>
        <sz val="11"/>
        <color rgb="FFFF0000"/>
        <rFont val="ＭＳ Ｐゴシック"/>
        <family val="2"/>
        <scheme val="minor"/>
      </rPr>
      <t>ISNS</t>
    </r>
    <r>
      <rPr>
        <sz val="11"/>
        <color rgb="FFFF0000"/>
        <rFont val="ＭＳ Ｐゴシック"/>
        <family val="2"/>
        <scheme val="minor"/>
      </rPr>
      <t xml:space="preserve"> &lt; 500 Ω</t>
    </r>
  </si>
  <si>
    <t xml:space="preserve">Tune this parameter (&lt; 5.4V) </t>
  </si>
  <si>
    <r>
      <t>C</t>
    </r>
    <r>
      <rPr>
        <vertAlign val="subscript"/>
        <sz val="11"/>
        <color theme="1"/>
        <rFont val="ＭＳ Ｐゴシック"/>
        <family val="2"/>
        <scheme val="minor"/>
      </rPr>
      <t>OUT</t>
    </r>
    <r>
      <rPr>
        <sz val="11"/>
        <color theme="1"/>
        <rFont val="ＭＳ Ｐゴシック"/>
        <family val="2"/>
        <scheme val="minor"/>
      </rPr>
      <t xml:space="preserve"> RMS Ripple Current Rating at resonant frequency</t>
    </r>
  </si>
  <si>
    <t>Enter ratio of Iramp vs. the peak current in capacitor divider. Refer application notes for details</t>
  </si>
  <si>
    <t>Rectifier's full wave output current</t>
  </si>
  <si>
    <t>UCC256301</t>
  </si>
  <si>
    <t>UCC256302</t>
  </si>
  <si>
    <t>UCC256303</t>
  </si>
  <si>
    <t>UCC256304</t>
  </si>
  <si>
    <t>Refer datasheet for the difference of UCC25630x devices</t>
  </si>
  <si>
    <t>UCC25630x DESIGN CALCULATOR TOOL</t>
  </si>
  <si>
    <r>
      <t xml:space="preserve">This spreadsheet guides the user through the design process of an LLC resonant DC/DC CONVERTER using the </t>
    </r>
    <r>
      <rPr>
        <b/>
        <sz val="11"/>
        <color indexed="10"/>
        <rFont val="Arial"/>
        <family val="2"/>
      </rPr>
      <t>UCC25630x</t>
    </r>
    <r>
      <rPr>
        <b/>
        <sz val="11"/>
        <rFont val="Arial"/>
        <family val="2"/>
      </rPr>
      <t>.  User interaction is required in order to get the best possible results.  Enter the desired specification where prompted, the highlighted cells are for user inputs; calculations for the design are based upon the inputs.</t>
    </r>
  </si>
  <si>
    <t>UCC25630x Enhanced LLC Resonant Controller</t>
  </si>
  <si>
    <t>Version: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</si>
</sst>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0"/>
    <numFmt numFmtId="178" formatCode="0E+00"/>
    <numFmt numFmtId="179" formatCode="0.0"/>
  </numFmts>
  <fonts count="41" x14ac:knownFonts="1">
    <font>
      <sz val="11"/>
      <color theme="1"/>
      <name val="ＭＳ Ｐゴシック"/>
      <family val="2"/>
      <scheme val="minor"/>
    </font>
    <font>
      <b/>
      <sz val="22"/>
      <color indexed="9"/>
      <name val="Arial"/>
      <family val="2"/>
    </font>
    <font>
      <b/>
      <sz val="10"/>
      <name val="Arial"/>
      <family val="2"/>
    </font>
    <font>
      <b/>
      <sz val="12"/>
      <name val="Arial"/>
      <family val="2"/>
    </font>
    <font>
      <b/>
      <sz val="12"/>
      <color indexed="10"/>
      <name val="Arial"/>
      <family val="2"/>
    </font>
    <font>
      <b/>
      <sz val="14"/>
      <name val="Arial"/>
      <family val="2"/>
    </font>
    <font>
      <b/>
      <i/>
      <sz val="14"/>
      <name val="Arial"/>
      <family val="2"/>
    </font>
    <font>
      <b/>
      <sz val="14"/>
      <color indexed="10"/>
      <name val="Arial"/>
      <family val="2"/>
    </font>
    <font>
      <b/>
      <sz val="11"/>
      <name val="Arial"/>
      <family val="2"/>
    </font>
    <font>
      <b/>
      <sz val="11"/>
      <color indexed="10"/>
      <name val="Arial"/>
      <family val="2"/>
    </font>
    <font>
      <sz val="8"/>
      <name val="Arial"/>
      <family val="2"/>
    </font>
    <font>
      <sz val="11"/>
      <color rgb="FFFF0000"/>
      <name val="ＭＳ Ｐゴシック"/>
      <family val="2"/>
      <scheme val="minor"/>
    </font>
    <font>
      <b/>
      <sz val="11"/>
      <color theme="1"/>
      <name val="ＭＳ Ｐゴシック"/>
      <family val="2"/>
      <scheme val="minor"/>
    </font>
    <font>
      <sz val="10"/>
      <name val="Arial"/>
      <family val="2"/>
    </font>
    <font>
      <vertAlign val="subscript"/>
      <sz val="11"/>
      <color theme="1"/>
      <name val="ＭＳ Ｐゴシック"/>
      <family val="2"/>
      <scheme val="minor"/>
    </font>
    <font>
      <b/>
      <sz val="11"/>
      <color rgb="FFFF0000"/>
      <name val="ＭＳ Ｐゴシック"/>
      <family val="2"/>
      <scheme val="minor"/>
    </font>
    <font>
      <sz val="11"/>
      <color theme="1"/>
      <name val="Calibri"/>
      <family val="2"/>
    </font>
    <font>
      <b/>
      <sz val="11"/>
      <color rgb="FFFF0000"/>
      <name val="Arial"/>
      <family val="2"/>
    </font>
    <font>
      <b/>
      <vertAlign val="subscript"/>
      <sz val="11"/>
      <color theme="1"/>
      <name val="ＭＳ Ｐゴシック"/>
      <family val="2"/>
      <scheme val="minor"/>
    </font>
    <font>
      <sz val="11"/>
      <color theme="1"/>
      <name val="Arial"/>
      <family val="2"/>
    </font>
    <font>
      <vertAlign val="subscript"/>
      <sz val="11"/>
      <color theme="1"/>
      <name val="Arial"/>
      <family val="2"/>
    </font>
    <font>
      <b/>
      <sz val="12"/>
      <color theme="0"/>
      <name val="Arial"/>
      <family val="2"/>
    </font>
    <font>
      <sz val="11"/>
      <color rgb="FF00B050"/>
      <name val="ＭＳ Ｐゴシック"/>
      <family val="2"/>
      <scheme val="minor"/>
    </font>
    <font>
      <b/>
      <sz val="12"/>
      <color theme="1"/>
      <name val="Arial"/>
      <family val="2"/>
    </font>
    <font>
      <sz val="10"/>
      <color theme="1"/>
      <name val="Symbol"/>
      <family val="1"/>
      <charset val="2"/>
    </font>
    <font>
      <b/>
      <sz val="11"/>
      <color theme="1"/>
      <name val="Arial"/>
      <family val="2"/>
    </font>
    <font>
      <b/>
      <vertAlign val="subscript"/>
      <sz val="11"/>
      <color theme="1"/>
      <name val="Arial"/>
      <family val="2"/>
    </font>
    <font>
      <vertAlign val="subscript"/>
      <sz val="11"/>
      <color rgb="FFFF0000"/>
      <name val="ＭＳ Ｐゴシック"/>
      <family val="2"/>
      <scheme val="minor"/>
    </font>
    <font>
      <sz val="11"/>
      <color theme="1"/>
      <name val="ＭＳ Ｐゴシック"/>
      <family val="2"/>
      <scheme val="minor"/>
    </font>
    <font>
      <vertAlign val="subscript"/>
      <sz val="11"/>
      <color theme="1"/>
      <name val="Calibri"/>
      <family val="2"/>
    </font>
    <font>
      <vertAlign val="subscript"/>
      <sz val="11"/>
      <color indexed="8"/>
      <name val="Calibri"/>
      <family val="2"/>
    </font>
    <font>
      <sz val="11"/>
      <color indexed="8"/>
      <name val="Calibri"/>
      <family val="2"/>
    </font>
    <font>
      <sz val="11"/>
      <color indexed="10"/>
      <name val="Calibri"/>
      <family val="2"/>
    </font>
    <font>
      <sz val="11"/>
      <name val="Calibri"/>
      <family val="2"/>
    </font>
    <font>
      <vertAlign val="subscript"/>
      <sz val="11"/>
      <name val="Calibri"/>
      <family val="2"/>
    </font>
    <font>
      <b/>
      <sz val="11"/>
      <color rgb="FFFF0000"/>
      <name val="Calibri"/>
      <family val="2"/>
    </font>
    <font>
      <sz val="11"/>
      <name val="ＭＳ Ｐゴシック"/>
      <family val="2"/>
      <scheme val="minor"/>
    </font>
    <font>
      <b/>
      <sz val="11"/>
      <color rgb="FF7030A0"/>
      <name val="ＭＳ Ｐゴシック"/>
      <family val="2"/>
      <scheme val="minor"/>
    </font>
    <font>
      <sz val="11"/>
      <color indexed="81"/>
      <name val="Tahoma"/>
      <family val="2"/>
    </font>
    <font>
      <b/>
      <sz val="11"/>
      <color indexed="81"/>
      <name val="Tahoma"/>
      <family val="2"/>
    </font>
    <font>
      <sz val="6"/>
      <name val="ＭＳ Ｐ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FFC0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3" fillId="0" borderId="0"/>
    <xf numFmtId="0" fontId="28" fillId="0" borderId="0"/>
    <xf numFmtId="0" fontId="28" fillId="0" borderId="0"/>
  </cellStyleXfs>
  <cellXfs count="226">
    <xf numFmtId="0" fontId="0" fillId="0" borderId="0" xfId="0"/>
    <xf numFmtId="0" fontId="3" fillId="3" borderId="5" xfId="0" applyFont="1" applyFill="1" applyBorder="1" applyAlignment="1" applyProtection="1">
      <alignment horizontal="right" vertical="center"/>
    </xf>
    <xf numFmtId="0" fontId="3" fillId="4" borderId="6" xfId="0" applyFont="1" applyFill="1" applyBorder="1" applyAlignment="1" applyProtection="1">
      <alignment horizontal="center" vertical="center"/>
    </xf>
    <xf numFmtId="0" fontId="0" fillId="3" borderId="0" xfId="0" applyFill="1" applyBorder="1" applyAlignment="1" applyProtection="1">
      <alignment horizontal="left" vertical="center" wrapText="1"/>
    </xf>
    <xf numFmtId="0" fontId="12" fillId="0" borderId="0" xfId="0" applyFont="1" applyAlignment="1">
      <alignment horizontal="center" vertical="center"/>
    </xf>
    <xf numFmtId="0" fontId="14" fillId="3" borderId="25" xfId="0" applyFont="1" applyFill="1" applyBorder="1" applyAlignment="1" applyProtection="1">
      <alignment vertical="center"/>
    </xf>
    <xf numFmtId="0" fontId="12" fillId="0" borderId="0" xfId="0" applyFont="1" applyAlignment="1">
      <alignment horizontal="center"/>
    </xf>
    <xf numFmtId="2" fontId="0" fillId="0" borderId="0" xfId="0" applyNumberFormat="1" applyAlignment="1">
      <alignment vertical="center"/>
    </xf>
    <xf numFmtId="0" fontId="19" fillId="3" borderId="17" xfId="0" applyFont="1" applyFill="1" applyBorder="1" applyProtection="1"/>
    <xf numFmtId="178" fontId="19" fillId="3" borderId="17" xfId="0" applyNumberFormat="1" applyFont="1" applyFill="1" applyBorder="1" applyProtection="1"/>
    <xf numFmtId="0" fontId="19" fillId="3" borderId="0" xfId="0" applyFont="1" applyFill="1" applyProtection="1"/>
    <xf numFmtId="0" fontId="0" fillId="3" borderId="0" xfId="0" applyFill="1" applyAlignment="1" applyProtection="1">
      <alignment vertical="center"/>
    </xf>
    <xf numFmtId="0" fontId="11" fillId="3" borderId="0" xfId="0" applyFont="1" applyFill="1" applyAlignment="1" applyProtection="1">
      <alignment vertical="center"/>
    </xf>
    <xf numFmtId="0" fontId="16" fillId="3" borderId="19" xfId="0" applyFont="1" applyFill="1" applyBorder="1" applyAlignment="1" applyProtection="1">
      <alignment vertical="center"/>
    </xf>
    <xf numFmtId="0" fontId="16" fillId="3" borderId="20" xfId="0" applyFont="1" applyFill="1" applyBorder="1" applyAlignment="1" applyProtection="1">
      <alignment vertical="center"/>
    </xf>
    <xf numFmtId="0" fontId="15" fillId="3" borderId="0" xfId="0" applyFont="1" applyFill="1" applyBorder="1" applyAlignment="1" applyProtection="1">
      <alignment vertical="center" wrapText="1"/>
    </xf>
    <xf numFmtId="0" fontId="11" fillId="0" borderId="0" xfId="0" applyFont="1"/>
    <xf numFmtId="0" fontId="15" fillId="0" borderId="0" xfId="0" applyFont="1"/>
    <xf numFmtId="0" fontId="0" fillId="0" borderId="0" xfId="0" applyFont="1"/>
    <xf numFmtId="11" fontId="0" fillId="0" borderId="0" xfId="0" applyNumberFormat="1"/>
    <xf numFmtId="11" fontId="0" fillId="0" borderId="0" xfId="0" applyNumberFormat="1" applyFont="1"/>
    <xf numFmtId="11" fontId="11" fillId="0" borderId="0" xfId="0" applyNumberFormat="1" applyFont="1"/>
    <xf numFmtId="2" fontId="0" fillId="0" borderId="0" xfId="0" applyNumberFormat="1" applyFont="1" applyAlignment="1">
      <alignment horizontal="left"/>
    </xf>
    <xf numFmtId="2" fontId="0" fillId="0" borderId="0" xfId="0" applyNumberFormat="1" applyFont="1" applyAlignment="1">
      <alignment horizontal="left" vertical="center"/>
    </xf>
    <xf numFmtId="2" fontId="0" fillId="0" borderId="0" xfId="0" applyNumberFormat="1" applyAlignment="1">
      <alignment horizontal="left"/>
    </xf>
    <xf numFmtId="0" fontId="0" fillId="3" borderId="15" xfId="0" applyFont="1" applyFill="1" applyBorder="1" applyAlignment="1" applyProtection="1">
      <alignment vertical="center"/>
    </xf>
    <xf numFmtId="0" fontId="22" fillId="3" borderId="0" xfId="0" applyFont="1" applyFill="1" applyBorder="1" applyAlignment="1" applyProtection="1">
      <alignment vertical="center"/>
    </xf>
    <xf numFmtId="0" fontId="22" fillId="3" borderId="8" xfId="0" applyFont="1" applyFill="1" applyBorder="1" applyAlignment="1" applyProtection="1">
      <alignment vertical="center"/>
    </xf>
    <xf numFmtId="177" fontId="22" fillId="3" borderId="0" xfId="0" applyNumberFormat="1" applyFont="1" applyFill="1" applyBorder="1" applyAlignment="1" applyProtection="1">
      <alignment vertical="center"/>
    </xf>
    <xf numFmtId="0" fontId="22" fillId="3" borderId="9" xfId="0" applyFont="1" applyFill="1" applyBorder="1" applyAlignment="1" applyProtection="1">
      <alignment vertical="center"/>
    </xf>
    <xf numFmtId="0" fontId="0" fillId="3" borderId="19" xfId="0" applyFont="1" applyFill="1" applyBorder="1" applyAlignment="1" applyProtection="1">
      <alignment vertical="center"/>
    </xf>
    <xf numFmtId="0" fontId="0" fillId="3" borderId="0" xfId="0" applyFont="1" applyFill="1" applyAlignment="1" applyProtection="1">
      <alignment vertical="center"/>
    </xf>
    <xf numFmtId="0" fontId="0" fillId="3" borderId="17" xfId="0" applyFont="1" applyFill="1" applyBorder="1" applyAlignment="1" applyProtection="1">
      <alignment vertical="center"/>
    </xf>
    <xf numFmtId="0" fontId="0" fillId="3" borderId="16" xfId="0" applyFont="1" applyFill="1" applyBorder="1" applyAlignment="1" applyProtection="1">
      <alignment vertical="center"/>
    </xf>
    <xf numFmtId="0" fontId="0" fillId="3" borderId="20" xfId="0" applyFont="1" applyFill="1" applyBorder="1" applyAlignment="1" applyProtection="1">
      <alignment vertical="center"/>
    </xf>
    <xf numFmtId="0" fontId="0" fillId="4" borderId="17" xfId="0" applyFont="1" applyFill="1" applyBorder="1" applyAlignment="1" applyProtection="1">
      <alignment vertical="center"/>
      <protection locked="0"/>
    </xf>
    <xf numFmtId="0" fontId="24" fillId="3" borderId="18" xfId="0" applyFont="1" applyFill="1" applyBorder="1" applyAlignment="1" applyProtection="1">
      <alignment vertical="center"/>
    </xf>
    <xf numFmtId="0" fontId="0" fillId="3" borderId="24" xfId="0" applyFont="1" applyFill="1" applyBorder="1" applyAlignment="1" applyProtection="1">
      <alignment vertical="center"/>
    </xf>
    <xf numFmtId="0" fontId="0" fillId="3" borderId="25" xfId="0" applyFont="1" applyFill="1" applyBorder="1" applyAlignment="1" applyProtection="1">
      <alignment vertical="center"/>
    </xf>
    <xf numFmtId="0" fontId="0" fillId="3" borderId="26" xfId="0" applyFont="1" applyFill="1" applyBorder="1" applyAlignment="1" applyProtection="1">
      <alignment vertical="center"/>
    </xf>
    <xf numFmtId="0" fontId="0" fillId="3" borderId="0" xfId="0" applyFont="1" applyFill="1" applyBorder="1" applyAlignment="1" applyProtection="1">
      <alignment vertical="center"/>
    </xf>
    <xf numFmtId="0" fontId="0" fillId="3" borderId="12" xfId="0" applyFont="1" applyFill="1" applyBorder="1" applyAlignment="1" applyProtection="1">
      <alignment vertical="center"/>
    </xf>
    <xf numFmtId="0" fontId="0" fillId="3" borderId="13" xfId="0" applyFont="1" applyFill="1" applyBorder="1" applyAlignment="1" applyProtection="1">
      <alignment vertical="center"/>
    </xf>
    <xf numFmtId="0" fontId="0" fillId="4" borderId="13" xfId="0" applyFont="1" applyFill="1" applyBorder="1" applyAlignment="1" applyProtection="1">
      <alignment vertical="center"/>
      <protection locked="0"/>
    </xf>
    <xf numFmtId="0" fontId="0" fillId="3" borderId="14" xfId="0" applyFont="1" applyFill="1" applyBorder="1" applyAlignment="1" applyProtection="1">
      <alignment vertical="center"/>
    </xf>
    <xf numFmtId="176" fontId="12" fillId="3" borderId="17" xfId="0" applyNumberFormat="1" applyFont="1" applyFill="1" applyBorder="1" applyAlignment="1" applyProtection="1">
      <alignment vertical="center"/>
    </xf>
    <xf numFmtId="0" fontId="12" fillId="3" borderId="19" xfId="0" applyFont="1" applyFill="1" applyBorder="1" applyAlignment="1" applyProtection="1">
      <alignment vertical="center" wrapText="1"/>
    </xf>
    <xf numFmtId="176" fontId="0" fillId="3" borderId="17" xfId="0" applyNumberFormat="1" applyFont="1" applyFill="1" applyBorder="1" applyAlignment="1" applyProtection="1">
      <alignment vertical="center"/>
    </xf>
    <xf numFmtId="0" fontId="0" fillId="3" borderId="18" xfId="0" applyFont="1" applyFill="1" applyBorder="1" applyAlignment="1" applyProtection="1">
      <alignment vertical="center"/>
    </xf>
    <xf numFmtId="176" fontId="0" fillId="3" borderId="18" xfId="0" applyNumberFormat="1" applyFont="1" applyFill="1" applyBorder="1" applyAlignment="1" applyProtection="1">
      <alignment vertical="center"/>
    </xf>
    <xf numFmtId="176" fontId="0" fillId="3" borderId="25" xfId="0" applyNumberFormat="1" applyFont="1" applyFill="1" applyBorder="1" applyAlignment="1" applyProtection="1">
      <alignment vertical="center"/>
    </xf>
    <xf numFmtId="0" fontId="0" fillId="3" borderId="30" xfId="0" applyFont="1" applyFill="1" applyBorder="1" applyAlignment="1" applyProtection="1">
      <alignment vertical="center"/>
    </xf>
    <xf numFmtId="0" fontId="0" fillId="3" borderId="31" xfId="0" applyFont="1" applyFill="1" applyBorder="1" applyAlignment="1" applyProtection="1">
      <alignment vertical="center"/>
    </xf>
    <xf numFmtId="0" fontId="0" fillId="3" borderId="32" xfId="0" applyFont="1" applyFill="1" applyBorder="1" applyAlignment="1" applyProtection="1">
      <alignment vertical="center"/>
    </xf>
    <xf numFmtId="177" fontId="0" fillId="4" borderId="17" xfId="0" applyNumberFormat="1" applyFont="1" applyFill="1" applyBorder="1" applyAlignment="1" applyProtection="1">
      <alignment vertical="center"/>
      <protection locked="0"/>
    </xf>
    <xf numFmtId="177" fontId="0" fillId="3" borderId="17" xfId="0" applyNumberFormat="1" applyFont="1" applyFill="1" applyBorder="1" applyAlignment="1" applyProtection="1">
      <alignment vertical="center"/>
    </xf>
    <xf numFmtId="2" fontId="0" fillId="3" borderId="31"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3" borderId="9" xfId="0" applyFont="1" applyFill="1" applyBorder="1" applyAlignment="1" applyProtection="1">
      <alignment vertical="center"/>
    </xf>
    <xf numFmtId="0" fontId="12" fillId="3" borderId="0" xfId="0" applyFont="1" applyFill="1" applyAlignment="1" applyProtection="1">
      <alignment vertical="center"/>
    </xf>
    <xf numFmtId="0" fontId="11" fillId="3" borderId="8" xfId="0" applyFont="1" applyFill="1" applyBorder="1" applyAlignment="1" applyProtection="1">
      <alignment vertical="center" wrapText="1"/>
    </xf>
    <xf numFmtId="176" fontId="15" fillId="3" borderId="17" xfId="0" applyNumberFormat="1" applyFont="1" applyFill="1" applyBorder="1" applyAlignment="1" applyProtection="1">
      <alignment vertical="center"/>
    </xf>
    <xf numFmtId="0" fontId="15" fillId="3" borderId="17" xfId="0" applyFont="1" applyFill="1" applyBorder="1" applyAlignment="1" applyProtection="1">
      <alignment vertical="center"/>
    </xf>
    <xf numFmtId="176" fontId="15" fillId="3" borderId="0" xfId="0" applyNumberFormat="1" applyFont="1" applyFill="1" applyBorder="1" applyAlignment="1" applyProtection="1">
      <alignment vertical="center"/>
    </xf>
    <xf numFmtId="0" fontId="0" fillId="0" borderId="17" xfId="0" applyBorder="1"/>
    <xf numFmtId="0" fontId="16" fillId="0" borderId="17" xfId="0" applyFont="1" applyBorder="1"/>
    <xf numFmtId="0" fontId="31" fillId="0" borderId="0" xfId="0" applyNumberFormat="1" applyFont="1" applyFill="1" applyBorder="1" applyAlignment="1" applyProtection="1"/>
    <xf numFmtId="0" fontId="32" fillId="0" borderId="0" xfId="0" applyNumberFormat="1" applyFont="1" applyFill="1" applyBorder="1" applyAlignment="1" applyProtection="1"/>
    <xf numFmtId="0" fontId="31" fillId="0" borderId="17" xfId="0" applyNumberFormat="1" applyFont="1" applyFill="1" applyBorder="1" applyAlignment="1" applyProtection="1"/>
    <xf numFmtId="0" fontId="31" fillId="0" borderId="31" xfId="0" applyNumberFormat="1" applyFont="1" applyFill="1" applyBorder="1" applyAlignment="1" applyProtection="1"/>
    <xf numFmtId="0" fontId="33" fillId="0" borderId="17" xfId="0" applyNumberFormat="1" applyFont="1" applyFill="1" applyBorder="1" applyAlignment="1" applyProtection="1"/>
    <xf numFmtId="0" fontId="0" fillId="0" borderId="0" xfId="0" applyBorder="1"/>
    <xf numFmtId="0" fontId="16" fillId="0" borderId="0" xfId="0" applyFont="1" applyBorder="1"/>
    <xf numFmtId="1" fontId="0" fillId="0" borderId="17" xfId="0" applyNumberFormat="1" applyBorder="1"/>
    <xf numFmtId="0" fontId="0" fillId="0" borderId="15" xfId="0" applyBorder="1"/>
    <xf numFmtId="0" fontId="0" fillId="0" borderId="19" xfId="0" applyBorder="1"/>
    <xf numFmtId="0" fontId="16" fillId="0" borderId="19" xfId="0" applyFont="1" applyBorder="1"/>
    <xf numFmtId="0" fontId="0" fillId="0" borderId="16" xfId="0" applyBorder="1"/>
    <xf numFmtId="0" fontId="0" fillId="0" borderId="18" xfId="0" applyBorder="1"/>
    <xf numFmtId="0" fontId="16" fillId="0" borderId="20" xfId="0" applyFont="1" applyBorder="1"/>
    <xf numFmtId="176" fontId="31" fillId="0" borderId="17" xfId="0" applyNumberFormat="1" applyFont="1" applyFill="1" applyBorder="1" applyAlignment="1" applyProtection="1"/>
    <xf numFmtId="179" fontId="31" fillId="0" borderId="17" xfId="0" applyNumberFormat="1" applyFont="1" applyFill="1" applyBorder="1" applyAlignment="1" applyProtection="1"/>
    <xf numFmtId="0" fontId="31" fillId="0" borderId="15" xfId="0" applyNumberFormat="1" applyFont="1" applyFill="1" applyBorder="1" applyAlignment="1" applyProtection="1"/>
    <xf numFmtId="0" fontId="31" fillId="0" borderId="19" xfId="0" applyNumberFormat="1" applyFont="1" applyFill="1" applyBorder="1" applyAlignment="1" applyProtection="1"/>
    <xf numFmtId="0" fontId="31" fillId="0" borderId="16" xfId="0" applyNumberFormat="1" applyFont="1" applyFill="1" applyBorder="1" applyAlignment="1" applyProtection="1"/>
    <xf numFmtId="0" fontId="31" fillId="0" borderId="18" xfId="0" applyNumberFormat="1" applyFont="1" applyFill="1" applyBorder="1" applyAlignment="1" applyProtection="1"/>
    <xf numFmtId="0" fontId="31" fillId="0" borderId="20" xfId="0" applyNumberFormat="1" applyFont="1" applyFill="1" applyBorder="1" applyAlignment="1" applyProtection="1"/>
    <xf numFmtId="0" fontId="0" fillId="3" borderId="0" xfId="0" applyFill="1" applyBorder="1" applyAlignment="1" applyProtection="1">
      <alignment vertical="center"/>
    </xf>
    <xf numFmtId="0" fontId="31" fillId="0" borderId="30" xfId="0" applyNumberFormat="1" applyFont="1" applyFill="1" applyBorder="1" applyAlignment="1" applyProtection="1"/>
    <xf numFmtId="0" fontId="31" fillId="0" borderId="32" xfId="0" applyNumberFormat="1" applyFont="1" applyFill="1" applyBorder="1" applyAlignment="1" applyProtection="1"/>
    <xf numFmtId="0" fontId="31" fillId="0" borderId="33" xfId="0" applyNumberFormat="1" applyFont="1" applyFill="1" applyBorder="1" applyAlignment="1" applyProtection="1"/>
    <xf numFmtId="0" fontId="31" fillId="0" borderId="34" xfId="0" applyNumberFormat="1" applyFont="1" applyFill="1" applyBorder="1" applyAlignment="1" applyProtection="1"/>
    <xf numFmtId="0" fontId="31" fillId="0" borderId="35" xfId="0" applyNumberFormat="1" applyFont="1" applyFill="1" applyBorder="1" applyAlignment="1" applyProtection="1"/>
    <xf numFmtId="179" fontId="31" fillId="0" borderId="31" xfId="0" applyNumberFormat="1" applyFont="1" applyFill="1" applyBorder="1" applyAlignment="1" applyProtection="1"/>
    <xf numFmtId="2" fontId="31" fillId="0" borderId="17" xfId="0" applyNumberFormat="1" applyFont="1" applyFill="1" applyBorder="1" applyAlignment="1" applyProtection="1"/>
    <xf numFmtId="2" fontId="31" fillId="0" borderId="18" xfId="0" applyNumberFormat="1" applyFont="1" applyFill="1" applyBorder="1" applyAlignment="1" applyProtection="1"/>
    <xf numFmtId="179" fontId="35" fillId="0" borderId="17" xfId="0" applyNumberFormat="1" applyFont="1" applyFill="1" applyBorder="1" applyAlignment="1" applyProtection="1"/>
    <xf numFmtId="2" fontId="35" fillId="0" borderId="17" xfId="0" applyNumberFormat="1" applyFont="1" applyFill="1" applyBorder="1" applyAlignment="1" applyProtection="1"/>
    <xf numFmtId="0" fontId="36" fillId="3" borderId="17" xfId="0" applyFont="1" applyFill="1" applyBorder="1" applyAlignment="1" applyProtection="1">
      <alignment vertical="center"/>
    </xf>
    <xf numFmtId="176" fontId="36" fillId="3" borderId="17" xfId="0" applyNumberFormat="1" applyFont="1" applyFill="1" applyBorder="1" applyAlignment="1" applyProtection="1">
      <alignment vertical="center"/>
    </xf>
    <xf numFmtId="176" fontId="36" fillId="3" borderId="18" xfId="0" applyNumberFormat="1" applyFont="1" applyFill="1" applyBorder="1" applyAlignment="1" applyProtection="1">
      <alignment vertical="center"/>
    </xf>
    <xf numFmtId="179" fontId="33" fillId="0" borderId="17" xfId="0" applyNumberFormat="1" applyFont="1" applyFill="1" applyBorder="1" applyAlignment="1" applyProtection="1"/>
    <xf numFmtId="2" fontId="15" fillId="0" borderId="17" xfId="0" applyNumberFormat="1" applyFont="1" applyBorder="1"/>
    <xf numFmtId="179" fontId="36" fillId="3" borderId="17" xfId="0" applyNumberFormat="1" applyFont="1" applyFill="1" applyBorder="1" applyAlignment="1" applyProtection="1">
      <alignment vertical="center"/>
    </xf>
    <xf numFmtId="179" fontId="0" fillId="3" borderId="17" xfId="0" applyNumberFormat="1" applyFont="1" applyFill="1" applyBorder="1" applyAlignment="1" applyProtection="1">
      <alignment vertical="center"/>
    </xf>
    <xf numFmtId="179" fontId="0" fillId="3" borderId="36" xfId="0" applyNumberFormat="1" applyFont="1" applyFill="1" applyBorder="1" applyAlignment="1" applyProtection="1">
      <alignment vertical="center"/>
    </xf>
    <xf numFmtId="0" fontId="37" fillId="3" borderId="0" xfId="0" applyFont="1" applyFill="1" applyAlignment="1" applyProtection="1">
      <alignment vertical="center"/>
    </xf>
    <xf numFmtId="0" fontId="33" fillId="0" borderId="18" xfId="0" applyNumberFormat="1" applyFont="1" applyFill="1" applyBorder="1" applyAlignment="1" applyProtection="1"/>
    <xf numFmtId="0" fontId="0" fillId="0" borderId="0" xfId="0" applyFill="1" applyAlignment="1" applyProtection="1">
      <alignment vertical="center"/>
    </xf>
    <xf numFmtId="0" fontId="11" fillId="3" borderId="0" xfId="0" applyFont="1" applyFill="1" applyBorder="1" applyAlignment="1" applyProtection="1">
      <alignment vertical="center"/>
    </xf>
    <xf numFmtId="2" fontId="0" fillId="0" borderId="17" xfId="0" applyNumberFormat="1" applyBorder="1"/>
    <xf numFmtId="0" fontId="0" fillId="7" borderId="17" xfId="0" applyFill="1" applyBorder="1"/>
    <xf numFmtId="0" fontId="2" fillId="3" borderId="4" xfId="0" applyFont="1" applyFill="1" applyBorder="1" applyAlignment="1" applyProtection="1">
      <alignment horizontal="left" vertical="center"/>
    </xf>
    <xf numFmtId="1" fontId="0" fillId="4" borderId="17" xfId="0" applyNumberFormat="1" applyFont="1" applyFill="1" applyBorder="1" applyAlignment="1" applyProtection="1">
      <alignment vertical="center"/>
      <protection locked="0"/>
    </xf>
    <xf numFmtId="0" fontId="0" fillId="0" borderId="17" xfId="0" applyFill="1" applyBorder="1"/>
    <xf numFmtId="0" fontId="0" fillId="4" borderId="25" xfId="0" applyFont="1" applyFill="1" applyBorder="1" applyAlignment="1" applyProtection="1">
      <alignment vertical="center"/>
      <protection locked="0"/>
    </xf>
    <xf numFmtId="2" fontId="0" fillId="0" borderId="17" xfId="0" applyNumberFormat="1" applyFont="1" applyFill="1" applyBorder="1" applyAlignment="1" applyProtection="1">
      <alignment vertical="center"/>
    </xf>
    <xf numFmtId="177" fontId="0" fillId="4" borderId="31" xfId="0" applyNumberFormat="1" applyFont="1" applyFill="1" applyBorder="1" applyAlignment="1" applyProtection="1">
      <alignment vertical="center"/>
      <protection locked="0"/>
    </xf>
    <xf numFmtId="0" fontId="31" fillId="4" borderId="17" xfId="0" applyNumberFormat="1" applyFont="1" applyFill="1" applyBorder="1" applyAlignment="1" applyProtection="1">
      <protection locked="0"/>
    </xf>
    <xf numFmtId="2" fontId="31" fillId="4" borderId="34" xfId="0" applyNumberFormat="1" applyFont="1" applyFill="1" applyBorder="1" applyAlignment="1" applyProtection="1">
      <protection locked="0"/>
    </xf>
    <xf numFmtId="2" fontId="31" fillId="4" borderId="17" xfId="0" applyNumberFormat="1" applyFont="1" applyFill="1" applyBorder="1" applyAlignment="1" applyProtection="1">
      <protection locked="0"/>
    </xf>
    <xf numFmtId="1" fontId="31" fillId="4" borderId="17" xfId="0" applyNumberFormat="1" applyFont="1" applyFill="1" applyBorder="1" applyAlignment="1" applyProtection="1">
      <protection locked="0"/>
    </xf>
    <xf numFmtId="0" fontId="31" fillId="4" borderId="34" xfId="0" applyNumberFormat="1" applyFont="1" applyFill="1" applyBorder="1" applyAlignment="1" applyProtection="1">
      <protection locked="0"/>
    </xf>
    <xf numFmtId="0" fontId="31" fillId="4" borderId="31" xfId="0" applyNumberFormat="1" applyFont="1" applyFill="1" applyBorder="1" applyAlignment="1" applyProtection="1">
      <protection locked="0"/>
    </xf>
    <xf numFmtId="179" fontId="31" fillId="4" borderId="17" xfId="0" applyNumberFormat="1" applyFont="1" applyFill="1" applyBorder="1" applyAlignment="1" applyProtection="1">
      <protection locked="0"/>
    </xf>
    <xf numFmtId="0" fontId="0" fillId="4" borderId="18" xfId="0" applyFill="1" applyBorder="1" applyProtection="1">
      <protection locked="0"/>
    </xf>
    <xf numFmtId="0" fontId="0" fillId="4" borderId="17" xfId="0" applyFill="1" applyBorder="1" applyProtection="1">
      <protection locked="0"/>
    </xf>
    <xf numFmtId="0" fontId="0" fillId="4" borderId="18" xfId="0" applyFont="1" applyFill="1" applyBorder="1" applyAlignment="1" applyProtection="1">
      <alignment vertical="center"/>
      <protection locked="0"/>
    </xf>
    <xf numFmtId="2" fontId="12" fillId="3" borderId="36" xfId="0" applyNumberFormat="1" applyFont="1" applyFill="1" applyBorder="1" applyAlignment="1" applyProtection="1">
      <alignment vertical="center"/>
    </xf>
    <xf numFmtId="4" fontId="12" fillId="3" borderId="36" xfId="0" applyNumberFormat="1" applyFont="1" applyFill="1" applyBorder="1" applyAlignment="1" applyProtection="1">
      <alignment vertical="center"/>
    </xf>
    <xf numFmtId="179" fontId="0" fillId="3" borderId="18" xfId="0" applyNumberFormat="1" applyFont="1" applyFill="1" applyBorder="1" applyAlignment="1" applyProtection="1">
      <alignment vertical="center"/>
    </xf>
    <xf numFmtId="0" fontId="0" fillId="3" borderId="30" xfId="0" applyFont="1" applyFill="1" applyBorder="1" applyAlignment="1" applyProtection="1">
      <alignment horizontal="left" vertical="center"/>
    </xf>
    <xf numFmtId="0" fontId="0" fillId="3" borderId="32" xfId="0" applyFont="1" applyFill="1" applyBorder="1" applyAlignment="1" applyProtection="1">
      <alignment horizontal="left" vertical="center"/>
    </xf>
    <xf numFmtId="0" fontId="0" fillId="3" borderId="31" xfId="0" applyFont="1" applyFill="1" applyBorder="1" applyAlignment="1" applyProtection="1">
      <alignment horizontal="right" vertical="center"/>
    </xf>
    <xf numFmtId="0" fontId="23" fillId="3" borderId="17" xfId="0" applyFont="1" applyFill="1" applyBorder="1" applyAlignment="1" applyProtection="1">
      <alignment horizontal="left" vertical="center" wrapText="1"/>
    </xf>
    <xf numFmtId="0" fontId="0" fillId="3" borderId="17" xfId="0" applyFill="1" applyBorder="1" applyAlignment="1" applyProtection="1">
      <alignment horizontal="left" vertical="center" wrapText="1"/>
    </xf>
    <xf numFmtId="1" fontId="35" fillId="0" borderId="17" xfId="0" applyNumberFormat="1" applyFont="1" applyFill="1" applyBorder="1" applyAlignment="1" applyProtection="1"/>
    <xf numFmtId="2" fontId="0" fillId="3" borderId="17" xfId="0" applyNumberFormat="1" applyFill="1" applyBorder="1"/>
    <xf numFmtId="2" fontId="31" fillId="3" borderId="17" xfId="0" applyNumberFormat="1" applyFont="1" applyFill="1" applyBorder="1" applyAlignment="1" applyProtection="1"/>
    <xf numFmtId="0" fontId="31" fillId="3" borderId="17" xfId="0" applyNumberFormat="1" applyFont="1" applyFill="1" applyBorder="1" applyAlignment="1" applyProtection="1"/>
    <xf numFmtId="179" fontId="31" fillId="3" borderId="17" xfId="0" applyNumberFormat="1" applyFont="1" applyFill="1" applyBorder="1" applyAlignment="1" applyProtection="1"/>
    <xf numFmtId="1" fontId="31" fillId="3" borderId="18" xfId="0" applyNumberFormat="1" applyFont="1" applyFill="1" applyBorder="1" applyAlignment="1" applyProtection="1"/>
    <xf numFmtId="0" fontId="33" fillId="3" borderId="17" xfId="0" applyNumberFormat="1" applyFont="1" applyFill="1" applyBorder="1" applyAlignment="1" applyProtection="1"/>
    <xf numFmtId="0" fontId="0" fillId="4" borderId="17" xfId="0" applyFill="1" applyBorder="1" applyAlignment="1" applyProtection="1">
      <alignment horizontal="left" vertical="center" wrapText="1"/>
      <protection locked="0"/>
    </xf>
    <xf numFmtId="2" fontId="0" fillId="4" borderId="17" xfId="0" applyNumberFormat="1" applyFont="1" applyFill="1" applyBorder="1" applyAlignment="1" applyProtection="1">
      <alignment vertical="center"/>
      <protection locked="0"/>
    </xf>
    <xf numFmtId="2" fontId="0" fillId="3" borderId="17" xfId="0" applyNumberFormat="1" applyFill="1" applyBorder="1" applyProtection="1"/>
    <xf numFmtId="0" fontId="0" fillId="3" borderId="1"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0" fontId="0" fillId="6" borderId="15" xfId="0" applyFont="1" applyFill="1" applyBorder="1" applyAlignment="1" applyProtection="1">
      <alignment horizontal="left" vertical="center"/>
    </xf>
    <xf numFmtId="0" fontId="0" fillId="6" borderId="17" xfId="0" applyFont="1" applyFill="1" applyBorder="1" applyAlignment="1" applyProtection="1">
      <alignment horizontal="left" vertical="center"/>
    </xf>
    <xf numFmtId="0" fontId="0" fillId="6" borderId="19" xfId="0" applyFont="1" applyFill="1" applyBorder="1" applyAlignment="1" applyProtection="1">
      <alignment horizontal="left" vertical="center"/>
    </xf>
    <xf numFmtId="0" fontId="12" fillId="6" borderId="12" xfId="0" applyFont="1" applyFill="1" applyBorder="1" applyAlignment="1" applyProtection="1">
      <alignment horizontal="left" vertical="center"/>
    </xf>
    <xf numFmtId="0" fontId="12" fillId="6" borderId="13" xfId="0" applyFont="1" applyFill="1" applyBorder="1" applyAlignment="1" applyProtection="1">
      <alignment horizontal="left" vertical="center"/>
    </xf>
    <xf numFmtId="0" fontId="12" fillId="6" borderId="14" xfId="0" applyFont="1" applyFill="1" applyBorder="1" applyAlignment="1" applyProtection="1">
      <alignment horizontal="left" vertical="center"/>
    </xf>
    <xf numFmtId="0" fontId="25" fillId="3" borderId="1" xfId="0" applyFont="1" applyFill="1" applyBorder="1" applyAlignment="1" applyProtection="1">
      <alignment horizontal="center" vertical="center" wrapText="1"/>
    </xf>
    <xf numFmtId="0" fontId="25" fillId="3" borderId="2" xfId="0" applyFont="1" applyFill="1" applyBorder="1" applyAlignment="1" applyProtection="1">
      <alignment horizontal="center" vertical="center" wrapText="1"/>
    </xf>
    <xf numFmtId="0" fontId="25" fillId="3" borderId="3" xfId="0" applyFont="1" applyFill="1" applyBorder="1" applyAlignment="1" applyProtection="1">
      <alignment horizontal="center" vertical="center" wrapTex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19" fillId="3" borderId="11" xfId="0" applyFont="1" applyFill="1" applyBorder="1" applyAlignment="1" applyProtection="1">
      <alignment horizontal="center" vertical="center" wrapText="1"/>
    </xf>
    <xf numFmtId="0" fontId="3" fillId="5" borderId="12" xfId="0" applyFont="1" applyFill="1" applyBorder="1" applyAlignment="1" applyProtection="1">
      <alignment horizontal="left" vertical="center"/>
    </xf>
    <xf numFmtId="0" fontId="3" fillId="5" borderId="13" xfId="0" applyFont="1" applyFill="1" applyBorder="1" applyAlignment="1" applyProtection="1">
      <alignment horizontal="left" vertical="center"/>
    </xf>
    <xf numFmtId="0" fontId="3" fillId="5" borderId="14" xfId="0" applyFont="1" applyFill="1" applyBorder="1" applyAlignment="1" applyProtection="1">
      <alignment horizontal="left" vertical="center"/>
    </xf>
    <xf numFmtId="0" fontId="12" fillId="6" borderId="33" xfId="0" applyFont="1" applyFill="1" applyBorder="1" applyAlignment="1" applyProtection="1">
      <alignment horizontal="left" vertical="center"/>
    </xf>
    <xf numFmtId="0" fontId="12" fillId="6" borderId="34" xfId="0" applyFont="1" applyFill="1" applyBorder="1" applyAlignment="1" applyProtection="1">
      <alignment horizontal="left" vertical="center"/>
    </xf>
    <xf numFmtId="0" fontId="12" fillId="6" borderId="35" xfId="0" applyFont="1" applyFill="1" applyBorder="1" applyAlignment="1" applyProtection="1">
      <alignment horizontal="left" vertic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2" fillId="6" borderId="29" xfId="0" applyFont="1" applyFill="1" applyBorder="1" applyAlignment="1" applyProtection="1">
      <alignment horizontal="left" vertical="center"/>
    </xf>
    <xf numFmtId="0" fontId="19" fillId="3" borderId="8"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23" fillId="5" borderId="27" xfId="0" applyFont="1" applyFill="1" applyBorder="1" applyAlignment="1" applyProtection="1">
      <alignment horizontal="left" vertical="center"/>
    </xf>
    <xf numFmtId="0" fontId="23" fillId="5" borderId="28" xfId="0" applyFont="1" applyFill="1" applyBorder="1" applyAlignment="1" applyProtection="1">
      <alignment horizontal="left" vertical="center"/>
    </xf>
    <xf numFmtId="0" fontId="23" fillId="5" borderId="29" xfId="0" applyFont="1" applyFill="1" applyBorder="1" applyAlignment="1" applyProtection="1">
      <alignment horizontal="left" vertical="center"/>
    </xf>
    <xf numFmtId="0" fontId="12" fillId="6" borderId="15" xfId="0" applyFont="1" applyFill="1" applyBorder="1" applyAlignment="1" applyProtection="1">
      <alignment horizontal="left" vertical="center"/>
    </xf>
    <xf numFmtId="0" fontId="12" fillId="6" borderId="17" xfId="0" applyFont="1" applyFill="1" applyBorder="1" applyAlignment="1" applyProtection="1">
      <alignment horizontal="left" vertical="center"/>
    </xf>
    <xf numFmtId="0" fontId="12" fillId="6" borderId="19" xfId="0" applyFont="1" applyFill="1" applyBorder="1" applyAlignment="1" applyProtection="1">
      <alignment horizontal="left" vertical="center"/>
    </xf>
    <xf numFmtId="0" fontId="5" fillId="3" borderId="8"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23" fillId="5" borderId="21" xfId="0" applyFont="1" applyFill="1" applyBorder="1" applyAlignment="1" applyProtection="1">
      <alignment horizontal="left" vertical="center"/>
    </xf>
    <xf numFmtId="0" fontId="23" fillId="5" borderId="22" xfId="0" applyFont="1" applyFill="1" applyBorder="1" applyAlignment="1" applyProtection="1">
      <alignment horizontal="left" vertical="center"/>
    </xf>
    <xf numFmtId="0" fontId="23" fillId="5" borderId="23" xfId="0" applyFont="1" applyFill="1" applyBorder="1" applyAlignment="1" applyProtection="1">
      <alignment horizontal="left" vertical="center"/>
    </xf>
    <xf numFmtId="0" fontId="8" fillId="3" borderId="8"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10" fillId="3" borderId="8"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1" fillId="2" borderId="1"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9" fillId="3" borderId="0" xfId="0" applyFont="1" applyFill="1" applyAlignment="1" applyProtection="1">
      <alignment horizontal="center"/>
    </xf>
  </cellXfs>
  <cellStyles count="4">
    <cellStyle name="Normal 2" xfId="1" xr:uid="{00000000-0005-0000-0000-000001000000}"/>
    <cellStyle name="Normal 2 2" xfId="2" xr:uid="{00000000-0005-0000-0000-000002000000}"/>
    <cellStyle name="Normal 2_DESIGN INPUTS AND CALCULATIONS" xfId="3" xr:uid="{00000000-0005-0000-0000-000003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extLst>
            <c:ext xmlns:c16="http://schemas.microsoft.com/office/drawing/2014/chart" uri="{C3380CC4-5D6E-409C-BE32-E72D297353CC}">
              <c16:uniqueId val="{00000000-E9A3-47F4-81B1-043DD03D607A}"/>
            </c:ext>
          </c:extLst>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extLst>
            <c:ext xmlns:c16="http://schemas.microsoft.com/office/drawing/2014/chart" uri="{C3380CC4-5D6E-409C-BE32-E72D297353CC}">
              <c16:uniqueId val="{00000001-E9A3-47F4-81B1-043DD03D607A}"/>
            </c:ext>
          </c:extLst>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extLst>
            <c:ext xmlns:c16="http://schemas.microsoft.com/office/drawing/2014/chart" uri="{C3380CC4-5D6E-409C-BE32-E72D297353CC}">
              <c16:uniqueId val="{00000002-E9A3-47F4-81B1-043DD03D607A}"/>
            </c:ext>
          </c:extLst>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extLst>
            <c:ext xmlns:c16="http://schemas.microsoft.com/office/drawing/2014/chart" uri="{C3380CC4-5D6E-409C-BE32-E72D297353CC}">
              <c16:uniqueId val="{00000003-E9A3-47F4-81B1-043DD03D607A}"/>
            </c:ext>
          </c:extLst>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extLst>
            <c:ext xmlns:c16="http://schemas.microsoft.com/office/drawing/2014/chart" uri="{C3380CC4-5D6E-409C-BE32-E72D297353CC}">
              <c16:uniqueId val="{00000004-E9A3-47F4-81B1-043DD03D607A}"/>
            </c:ext>
          </c:extLst>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extLst>
            <c:ext xmlns:c16="http://schemas.microsoft.com/office/drawing/2014/chart" uri="{C3380CC4-5D6E-409C-BE32-E72D297353CC}">
              <c16:uniqueId val="{00000005-E9A3-47F4-81B1-043DD03D607A}"/>
            </c:ext>
          </c:extLst>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extLst>
            <c:ext xmlns:c16="http://schemas.microsoft.com/office/drawing/2014/chart" uri="{C3380CC4-5D6E-409C-BE32-E72D297353CC}">
              <c16:uniqueId val="{00000006-E9A3-47F4-81B1-043DD03D607A}"/>
            </c:ext>
          </c:extLst>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extLst>
            <c:ext xmlns:c16="http://schemas.microsoft.com/office/drawing/2014/chart" uri="{C3380CC4-5D6E-409C-BE32-E72D297353CC}">
              <c16:uniqueId val="{00000007-E9A3-47F4-81B1-043DD03D607A}"/>
            </c:ext>
          </c:extLst>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extLst>
            <c:ext xmlns:c16="http://schemas.microsoft.com/office/drawing/2014/chart" uri="{C3380CC4-5D6E-409C-BE32-E72D297353CC}">
              <c16:uniqueId val="{00000008-E9A3-47F4-81B1-043DD03D607A}"/>
            </c:ext>
          </c:extLst>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extLst>
            <c:ext xmlns:c16="http://schemas.microsoft.com/office/drawing/2014/chart" uri="{C3380CC4-5D6E-409C-BE32-E72D297353CC}">
              <c16:uniqueId val="{00000009-E9A3-47F4-81B1-043DD03D607A}"/>
            </c:ext>
          </c:extLst>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extLst>
            <c:ext xmlns:c16="http://schemas.microsoft.com/office/drawing/2014/chart" uri="{C3380CC4-5D6E-409C-BE32-E72D297353CC}">
              <c16:uniqueId val="{0000000A-E9A3-47F4-81B1-043DD03D607A}"/>
            </c:ext>
          </c:extLst>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extLst>
            <c:ext xmlns:c16="http://schemas.microsoft.com/office/drawing/2014/chart" uri="{C3380CC4-5D6E-409C-BE32-E72D297353CC}">
              <c16:uniqueId val="{0000000B-E9A3-47F4-81B1-043DD03D607A}"/>
            </c:ext>
          </c:extLst>
        </c:ser>
        <c:dLbls>
          <c:showLegendKey val="0"/>
          <c:showVal val="0"/>
          <c:showCatName val="0"/>
          <c:showSerName val="0"/>
          <c:showPercent val="0"/>
          <c:showBubbleSize val="0"/>
        </c:dLbls>
        <c:axId val="151448576"/>
        <c:axId val="151889024"/>
      </c:scatterChart>
      <c:valAx>
        <c:axId val="151448576"/>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overlay val="0"/>
        </c:title>
        <c:numFmt formatCode="#,##0.00" sourceLinked="0"/>
        <c:majorTickMark val="out"/>
        <c:minorTickMark val="none"/>
        <c:tickLblPos val="nextTo"/>
        <c:txPr>
          <a:bodyPr rot="-5400000" vert="horz"/>
          <a:lstStyle/>
          <a:p>
            <a:pPr>
              <a:defRPr/>
            </a:pPr>
            <a:endParaRPr lang="ja-JP"/>
          </a:p>
        </c:txPr>
        <c:crossAx val="151889024"/>
        <c:crosses val="autoZero"/>
        <c:crossBetween val="midCat"/>
        <c:majorUnit val="5.000000000000001E-2"/>
        <c:minorUnit val="1.0000000000000002E-2"/>
      </c:valAx>
      <c:valAx>
        <c:axId val="151889024"/>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overlay val="0"/>
        </c:title>
        <c:numFmt formatCode="#,##0.0" sourceLinked="0"/>
        <c:majorTickMark val="out"/>
        <c:minorTickMark val="none"/>
        <c:tickLblPos val="nextTo"/>
        <c:crossAx val="151448576"/>
        <c:crosses val="autoZero"/>
        <c:crossBetween val="midCat"/>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tx>
            <c:v>Ln_Qe Gain with respect to freq</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calculations'!$R$66:$R$140</c:f>
              <c:numCache>
                <c:formatCode>0.00</c:formatCode>
                <c:ptCount val="75"/>
                <c:pt idx="0">
                  <c:v>0</c:v>
                </c:pt>
                <c:pt idx="1">
                  <c:v>1.2209725965867651E-2</c:v>
                </c:pt>
                <c:pt idx="2">
                  <c:v>5.1026405786742439E-2</c:v>
                </c:pt>
                <c:pt idx="3">
                  <c:v>0.1240432245709224</c:v>
                </c:pt>
                <c:pt idx="4">
                  <c:v>0.24833127752185138</c:v>
                </c:pt>
                <c:pt idx="5">
                  <c:v>0.46215441937807933</c:v>
                </c:pt>
                <c:pt idx="6">
                  <c:v>0.86205249354355673</c:v>
                </c:pt>
                <c:pt idx="7">
                  <c:v>1.7390876613340982</c:v>
                </c:pt>
                <c:pt idx="8">
                  <c:v>3.6945087199053392</c:v>
                </c:pt>
                <c:pt idx="9">
                  <c:v>3.5462112213594308</c:v>
                </c:pt>
                <c:pt idx="10">
                  <c:v>2.3883827252801395</c:v>
                </c:pt>
                <c:pt idx="11">
                  <c:v>1.8401740771532631</c:v>
                </c:pt>
                <c:pt idx="12">
                  <c:v>1.5528925779050506</c:v>
                </c:pt>
                <c:pt idx="13">
                  <c:v>1.3808071122459111</c:v>
                </c:pt>
                <c:pt idx="14">
                  <c:v>1.2677140265177149</c:v>
                </c:pt>
                <c:pt idx="15">
                  <c:v>1.1884135536071616</c:v>
                </c:pt>
                <c:pt idx="16">
                  <c:v>1.1301116299845095</c:v>
                </c:pt>
                <c:pt idx="17">
                  <c:v>1.0856743951891328</c:v>
                </c:pt>
                <c:pt idx="18">
                  <c:v>1.0508289429680877</c:v>
                </c:pt>
                <c:pt idx="19">
                  <c:v>1.022868560662211</c:v>
                </c:pt>
                <c:pt idx="20">
                  <c:v>1</c:v>
                </c:pt>
                <c:pt idx="21">
                  <c:v>0.98099082761056222</c:v>
                </c:pt>
                <c:pt idx="22">
                  <c:v>0.9649678003005312</c:v>
                </c:pt>
                <c:pt idx="23">
                  <c:v>0.95129603202414215</c:v>
                </c:pt>
                <c:pt idx="24">
                  <c:v>0.93950364652764728</c:v>
                </c:pt>
                <c:pt idx="25">
                  <c:v>0.92923317281024764</c:v>
                </c:pt>
                <c:pt idx="26">
                  <c:v>0.92020925981414947</c:v>
                </c:pt>
                <c:pt idx="27">
                  <c:v>0.91221667624533154</c:v>
                </c:pt>
                <c:pt idx="28">
                  <c:v>0.90508497832955515</c:v>
                </c:pt>
                <c:pt idx="29">
                  <c:v>0.89867760960219245</c:v>
                </c:pt>
                <c:pt idx="30">
                  <c:v>0.89288401260931283</c:v>
                </c:pt>
                <c:pt idx="31">
                  <c:v>0.88761382843787706</c:v>
                </c:pt>
                <c:pt idx="32">
                  <c:v>0.88279256957356511</c:v>
                </c:pt>
                <c:pt idx="33">
                  <c:v>0.8783583493722481</c:v>
                </c:pt>
                <c:pt idx="34">
                  <c:v>0.87425938049784024</c:v>
                </c:pt>
                <c:pt idx="35">
                  <c:v>0.87045204053607528</c:v>
                </c:pt>
                <c:pt idx="36">
                  <c:v>0.86689936111683441</c:v>
                </c:pt>
                <c:pt idx="37">
                  <c:v>0.86356983686233324</c:v>
                </c:pt>
                <c:pt idx="38">
                  <c:v>0.86043647839409998</c:v>
                </c:pt>
                <c:pt idx="39">
                  <c:v>0.85747605338830102</c:v>
                </c:pt>
                <c:pt idx="40">
                  <c:v>0.85466847382840705</c:v>
                </c:pt>
                <c:pt idx="41">
                  <c:v>0.85199629787150277</c:v>
                </c:pt>
                <c:pt idx="42">
                  <c:v>0.84944432227090982</c:v>
                </c:pt>
                <c:pt idx="43">
                  <c:v>0.84699924687126227</c:v>
                </c:pt>
                <c:pt idx="44">
                  <c:v>0.84464939685872831</c:v>
                </c:pt>
                <c:pt idx="45">
                  <c:v>0.84238449159170536</c:v>
                </c:pt>
                <c:pt idx="46">
                  <c:v>0.84019545122752659</c:v>
                </c:pt>
                <c:pt idx="47">
                  <c:v>0.8380742341929206</c:v>
                </c:pt>
                <c:pt idx="48">
                  <c:v>0.8360136999609652</c:v>
                </c:pt>
                <c:pt idx="49">
                  <c:v>0.83400749269762398</c:v>
                </c:pt>
                <c:pt idx="50">
                  <c:v>0.83204994220240314</c:v>
                </c:pt>
                <c:pt idx="51">
                  <c:v>0.83013597924619476</c:v>
                </c:pt>
                <c:pt idx="52">
                  <c:v>0.82826106294716229</c:v>
                </c:pt>
                <c:pt idx="53">
                  <c:v>0.82642111825398579</c:v>
                </c:pt>
                <c:pt idx="54">
                  <c:v>0.82461248194919134</c:v>
                </c:pt>
                <c:pt idx="55">
                  <c:v>0.82283185586173102</c:v>
                </c:pt>
                <c:pt idx="56">
                  <c:v>0.82107626620178209</c:v>
                </c:pt>
                <c:pt idx="57">
                  <c:v>0.81934302811260018</c:v>
                </c:pt>
                <c:pt idx="58">
                  <c:v>0.81762971468288581</c:v>
                </c:pt>
                <c:pt idx="59">
                  <c:v>0.81593412978490887</c:v>
                </c:pt>
                <c:pt idx="60">
                  <c:v>0.81425428420397483</c:v>
                </c:pt>
                <c:pt idx="61">
                  <c:v>0.81258837460779854</c:v>
                </c:pt>
                <c:pt idx="62">
                  <c:v>0.81093476497312511</c:v>
                </c:pt>
                <c:pt idx="63">
                  <c:v>0.809291970144279</c:v>
                </c:pt>
                <c:pt idx="64">
                  <c:v>0.80765864124621212</c:v>
                </c:pt>
                <c:pt idx="65">
                  <c:v>0.80603355271479415</c:v>
                </c:pt>
                <c:pt idx="66">
                  <c:v>0.80441559074083768</c:v>
                </c:pt>
                <c:pt idx="67">
                  <c:v>0.80280374295287782</c:v>
                </c:pt>
                <c:pt idx="68">
                  <c:v>0.80119708918782639</c:v>
                </c:pt>
                <c:pt idx="69">
                  <c:v>0.79959479321909632</c:v>
                </c:pt>
                <c:pt idx="70">
                  <c:v>0.79799609532921589</c:v>
                </c:pt>
                <c:pt idx="71">
                  <c:v>0.79640030562878039</c:v>
                </c:pt>
              </c:numCache>
            </c:numRef>
          </c:yVal>
          <c:smooth val="1"/>
          <c:extLst>
            <c:ext xmlns:c16="http://schemas.microsoft.com/office/drawing/2014/chart" uri="{C3380CC4-5D6E-409C-BE32-E72D297353CC}">
              <c16:uniqueId val="{00000000-252A-4757-AA38-AD4C02017AEC}"/>
            </c:ext>
          </c:extLst>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1.05</c:v>
                </c:pt>
                <c:pt idx="1">
                  <c:v>1.05</c:v>
                </c:pt>
                <c:pt idx="2">
                  <c:v>1.05</c:v>
                </c:pt>
                <c:pt idx="3">
                  <c:v>1.05</c:v>
                </c:pt>
                <c:pt idx="4">
                  <c:v>1.05</c:v>
                </c:pt>
                <c:pt idx="5">
                  <c:v>1.05</c:v>
                </c:pt>
                <c:pt idx="6">
                  <c:v>1.05</c:v>
                </c:pt>
                <c:pt idx="7">
                  <c:v>1.05</c:v>
                </c:pt>
                <c:pt idx="8">
                  <c:v>1.05</c:v>
                </c:pt>
                <c:pt idx="9">
                  <c:v>1.05</c:v>
                </c:pt>
                <c:pt idx="10">
                  <c:v>1.05</c:v>
                </c:pt>
                <c:pt idx="11">
                  <c:v>1.05</c:v>
                </c:pt>
                <c:pt idx="12">
                  <c:v>1.05</c:v>
                </c:pt>
                <c:pt idx="13">
                  <c:v>1.05</c:v>
                </c:pt>
                <c:pt idx="14">
                  <c:v>1.05</c:v>
                </c:pt>
                <c:pt idx="15">
                  <c:v>1.05</c:v>
                </c:pt>
                <c:pt idx="16">
                  <c:v>1.05</c:v>
                </c:pt>
                <c:pt idx="17">
                  <c:v>1.05</c:v>
                </c:pt>
                <c:pt idx="18">
                  <c:v>1.05</c:v>
                </c:pt>
                <c:pt idx="19">
                  <c:v>1.05</c:v>
                </c:pt>
                <c:pt idx="20">
                  <c:v>1.05</c:v>
                </c:pt>
                <c:pt idx="21">
                  <c:v>1.05</c:v>
                </c:pt>
                <c:pt idx="22">
                  <c:v>1.05</c:v>
                </c:pt>
                <c:pt idx="23">
                  <c:v>1.05</c:v>
                </c:pt>
                <c:pt idx="24">
                  <c:v>1.05</c:v>
                </c:pt>
                <c:pt idx="25">
                  <c:v>1.05</c:v>
                </c:pt>
                <c:pt idx="26">
                  <c:v>1.05</c:v>
                </c:pt>
                <c:pt idx="27">
                  <c:v>1.05</c:v>
                </c:pt>
                <c:pt idx="28">
                  <c:v>1.05</c:v>
                </c:pt>
                <c:pt idx="29">
                  <c:v>1.05</c:v>
                </c:pt>
                <c:pt idx="30">
                  <c:v>1.05</c:v>
                </c:pt>
                <c:pt idx="31">
                  <c:v>1.05</c:v>
                </c:pt>
                <c:pt idx="32">
                  <c:v>1.05</c:v>
                </c:pt>
                <c:pt idx="33">
                  <c:v>1.05</c:v>
                </c:pt>
                <c:pt idx="34">
                  <c:v>1.05</c:v>
                </c:pt>
                <c:pt idx="35">
                  <c:v>1.05</c:v>
                </c:pt>
                <c:pt idx="36">
                  <c:v>1.05</c:v>
                </c:pt>
                <c:pt idx="37">
                  <c:v>1.05</c:v>
                </c:pt>
                <c:pt idx="38">
                  <c:v>1.05</c:v>
                </c:pt>
                <c:pt idx="39">
                  <c:v>1.05</c:v>
                </c:pt>
                <c:pt idx="40">
                  <c:v>1.05</c:v>
                </c:pt>
                <c:pt idx="41">
                  <c:v>1.05</c:v>
                </c:pt>
                <c:pt idx="42">
                  <c:v>1.05</c:v>
                </c:pt>
                <c:pt idx="43">
                  <c:v>1.05</c:v>
                </c:pt>
                <c:pt idx="44">
                  <c:v>1.05</c:v>
                </c:pt>
                <c:pt idx="45">
                  <c:v>1.05</c:v>
                </c:pt>
                <c:pt idx="46">
                  <c:v>1.05</c:v>
                </c:pt>
                <c:pt idx="47">
                  <c:v>1.05</c:v>
                </c:pt>
                <c:pt idx="48">
                  <c:v>1.05</c:v>
                </c:pt>
                <c:pt idx="49">
                  <c:v>1.05</c:v>
                </c:pt>
                <c:pt idx="50">
                  <c:v>1.05</c:v>
                </c:pt>
                <c:pt idx="51">
                  <c:v>1.05</c:v>
                </c:pt>
                <c:pt idx="52">
                  <c:v>1.05</c:v>
                </c:pt>
                <c:pt idx="53">
                  <c:v>1.05</c:v>
                </c:pt>
                <c:pt idx="54">
                  <c:v>1.05</c:v>
                </c:pt>
                <c:pt idx="55">
                  <c:v>1.05</c:v>
                </c:pt>
                <c:pt idx="56">
                  <c:v>1.05</c:v>
                </c:pt>
                <c:pt idx="57">
                  <c:v>1.05</c:v>
                </c:pt>
                <c:pt idx="58">
                  <c:v>1.05</c:v>
                </c:pt>
                <c:pt idx="59">
                  <c:v>1.05</c:v>
                </c:pt>
                <c:pt idx="60">
                  <c:v>1.05</c:v>
                </c:pt>
                <c:pt idx="61">
                  <c:v>1.05</c:v>
                </c:pt>
                <c:pt idx="62">
                  <c:v>1.05</c:v>
                </c:pt>
                <c:pt idx="63">
                  <c:v>1.05</c:v>
                </c:pt>
                <c:pt idx="64">
                  <c:v>1.05</c:v>
                </c:pt>
                <c:pt idx="65">
                  <c:v>1.05</c:v>
                </c:pt>
                <c:pt idx="66">
                  <c:v>1.05</c:v>
                </c:pt>
                <c:pt idx="67">
                  <c:v>1.05</c:v>
                </c:pt>
                <c:pt idx="68">
                  <c:v>1.05</c:v>
                </c:pt>
                <c:pt idx="69">
                  <c:v>1.05</c:v>
                </c:pt>
                <c:pt idx="70">
                  <c:v>1.05</c:v>
                </c:pt>
                <c:pt idx="71">
                  <c:v>1.05</c:v>
                </c:pt>
              </c:numCache>
            </c:numRef>
          </c:yVal>
          <c:smooth val="1"/>
          <c:extLst>
            <c:ext xmlns:c16="http://schemas.microsoft.com/office/drawing/2014/chart" uri="{C3380CC4-5D6E-409C-BE32-E72D297353CC}">
              <c16:uniqueId val="{00000001-252A-4757-AA38-AD4C02017AEC}"/>
            </c:ext>
          </c:extLst>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0.97</c:v>
                </c:pt>
                <c:pt idx="1">
                  <c:v>0.97</c:v>
                </c:pt>
                <c:pt idx="2">
                  <c:v>0.97</c:v>
                </c:pt>
                <c:pt idx="3">
                  <c:v>0.97</c:v>
                </c:pt>
                <c:pt idx="4">
                  <c:v>0.97</c:v>
                </c:pt>
                <c:pt idx="5">
                  <c:v>0.97</c:v>
                </c:pt>
                <c:pt idx="6">
                  <c:v>0.97</c:v>
                </c:pt>
                <c:pt idx="7">
                  <c:v>0.97</c:v>
                </c:pt>
                <c:pt idx="8">
                  <c:v>0.97</c:v>
                </c:pt>
                <c:pt idx="9">
                  <c:v>0.97</c:v>
                </c:pt>
                <c:pt idx="10">
                  <c:v>0.97</c:v>
                </c:pt>
                <c:pt idx="11">
                  <c:v>0.97</c:v>
                </c:pt>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pt idx="26">
                  <c:v>0.97</c:v>
                </c:pt>
                <c:pt idx="27">
                  <c:v>0.97</c:v>
                </c:pt>
                <c:pt idx="28">
                  <c:v>0.97</c:v>
                </c:pt>
                <c:pt idx="29">
                  <c:v>0.97</c:v>
                </c:pt>
                <c:pt idx="30">
                  <c:v>0.97</c:v>
                </c:pt>
                <c:pt idx="31">
                  <c:v>0.97</c:v>
                </c:pt>
                <c:pt idx="32">
                  <c:v>0.97</c:v>
                </c:pt>
                <c:pt idx="33">
                  <c:v>0.97</c:v>
                </c:pt>
                <c:pt idx="34">
                  <c:v>0.97</c:v>
                </c:pt>
                <c:pt idx="35">
                  <c:v>0.97</c:v>
                </c:pt>
                <c:pt idx="36">
                  <c:v>0.97</c:v>
                </c:pt>
                <c:pt idx="37">
                  <c:v>0.97</c:v>
                </c:pt>
                <c:pt idx="38">
                  <c:v>0.97</c:v>
                </c:pt>
                <c:pt idx="39">
                  <c:v>0.97</c:v>
                </c:pt>
                <c:pt idx="40">
                  <c:v>0.97</c:v>
                </c:pt>
                <c:pt idx="41">
                  <c:v>0.97</c:v>
                </c:pt>
                <c:pt idx="42">
                  <c:v>0.97</c:v>
                </c:pt>
                <c:pt idx="43">
                  <c:v>0.97</c:v>
                </c:pt>
                <c:pt idx="44">
                  <c:v>0.97</c:v>
                </c:pt>
                <c:pt idx="45">
                  <c:v>0.97</c:v>
                </c:pt>
                <c:pt idx="46">
                  <c:v>0.97</c:v>
                </c:pt>
                <c:pt idx="47">
                  <c:v>0.97</c:v>
                </c:pt>
                <c:pt idx="48">
                  <c:v>0.97</c:v>
                </c:pt>
                <c:pt idx="49">
                  <c:v>0.97</c:v>
                </c:pt>
                <c:pt idx="50">
                  <c:v>0.97</c:v>
                </c:pt>
                <c:pt idx="51">
                  <c:v>0.97</c:v>
                </c:pt>
                <c:pt idx="52">
                  <c:v>0.97</c:v>
                </c:pt>
                <c:pt idx="53">
                  <c:v>0.97</c:v>
                </c:pt>
                <c:pt idx="54">
                  <c:v>0.97</c:v>
                </c:pt>
                <c:pt idx="55">
                  <c:v>0.97</c:v>
                </c:pt>
                <c:pt idx="56">
                  <c:v>0.97</c:v>
                </c:pt>
                <c:pt idx="57">
                  <c:v>0.97</c:v>
                </c:pt>
                <c:pt idx="58">
                  <c:v>0.97</c:v>
                </c:pt>
                <c:pt idx="59">
                  <c:v>0.97</c:v>
                </c:pt>
                <c:pt idx="60">
                  <c:v>0.97</c:v>
                </c:pt>
                <c:pt idx="61">
                  <c:v>0.97</c:v>
                </c:pt>
                <c:pt idx="62">
                  <c:v>0.97</c:v>
                </c:pt>
                <c:pt idx="63">
                  <c:v>0.97</c:v>
                </c:pt>
                <c:pt idx="64">
                  <c:v>0.97</c:v>
                </c:pt>
                <c:pt idx="65">
                  <c:v>0.97</c:v>
                </c:pt>
                <c:pt idx="66">
                  <c:v>0.97</c:v>
                </c:pt>
                <c:pt idx="67">
                  <c:v>0.97</c:v>
                </c:pt>
                <c:pt idx="68">
                  <c:v>0.97</c:v>
                </c:pt>
                <c:pt idx="69">
                  <c:v>0.97</c:v>
                </c:pt>
                <c:pt idx="70">
                  <c:v>0.97</c:v>
                </c:pt>
                <c:pt idx="71">
                  <c:v>0.97</c:v>
                </c:pt>
              </c:numCache>
            </c:numRef>
          </c:yVal>
          <c:smooth val="1"/>
          <c:extLst>
            <c:ext xmlns:c16="http://schemas.microsoft.com/office/drawing/2014/chart" uri="{C3380CC4-5D6E-409C-BE32-E72D297353CC}">
              <c16:uniqueId val="{00000002-252A-4757-AA38-AD4C02017AEC}"/>
            </c:ext>
          </c:extLst>
        </c:ser>
        <c:ser>
          <c:idx val="3"/>
          <c:order val="3"/>
          <c:tx>
            <c:v>Overload Gain Curve</c:v>
          </c:tx>
          <c:spPr>
            <a:ln>
              <a:prstDash val="sysDash"/>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calculations'!$AN$66:$AN$140</c:f>
              <c:numCache>
                <c:formatCode>0.00</c:formatCode>
                <c:ptCount val="75"/>
                <c:pt idx="0">
                  <c:v>0</c:v>
                </c:pt>
                <c:pt idx="1">
                  <c:v>1.2215076314497336E-2</c:v>
                </c:pt>
                <c:pt idx="2">
                  <c:v>5.1122783705597682E-2</c:v>
                </c:pt>
                <c:pt idx="3">
                  <c:v>0.12464581048991462</c:v>
                </c:pt>
                <c:pt idx="4">
                  <c:v>0.25097714391687626</c:v>
                </c:pt>
                <c:pt idx="5">
                  <c:v>0.47275330716177966</c:v>
                </c:pt>
                <c:pt idx="6">
                  <c:v>0.90915420564811156</c:v>
                </c:pt>
                <c:pt idx="7">
                  <c:v>2.0504226521813624</c:v>
                </c:pt>
                <c:pt idx="8">
                  <c:v>11.065976325685602</c:v>
                </c:pt>
                <c:pt idx="9">
                  <c:v>5.4917486132949831</c:v>
                </c:pt>
                <c:pt idx="10">
                  <c:v>2.6528715577735111</c:v>
                </c:pt>
                <c:pt idx="11">
                  <c:v>1.9189212484195366</c:v>
                </c:pt>
                <c:pt idx="12">
                  <c:v>1.5853278961385651</c:v>
                </c:pt>
                <c:pt idx="13">
                  <c:v>1.3964055252243659</c:v>
                </c:pt>
                <c:pt idx="14">
                  <c:v>1.2757720176361003</c:v>
                </c:pt>
                <c:pt idx="15">
                  <c:v>1.1926514245922504</c:v>
                </c:pt>
                <c:pt idx="16">
                  <c:v>1.1322749852976306</c:v>
                </c:pt>
                <c:pt idx="17">
                  <c:v>1.0866824510298867</c:v>
                </c:pt>
                <c:pt idx="18">
                  <c:v>1.0512108415993358</c:v>
                </c:pt>
                <c:pt idx="19">
                  <c:v>1.0229517691524819</c:v>
                </c:pt>
                <c:pt idx="20">
                  <c:v>1</c:v>
                </c:pt>
                <c:pt idx="21">
                  <c:v>0.98105723267587797</c:v>
                </c:pt>
                <c:pt idx="22">
                  <c:v>0.96520959570060216</c:v>
                </c:pt>
                <c:pt idx="23">
                  <c:v>0.95179611987633639</c:v>
                </c:pt>
                <c:pt idx="24">
                  <c:v>0.94032759952723022</c:v>
                </c:pt>
                <c:pt idx="25">
                  <c:v>0.93043470105328308</c:v>
                </c:pt>
                <c:pt idx="26">
                  <c:v>0.9218337356030869</c:v>
                </c:pt>
                <c:pt idx="27">
                  <c:v>0.91430347080747409</c:v>
                </c:pt>
                <c:pt idx="28">
                  <c:v>0.90766904919036695</c:v>
                </c:pt>
                <c:pt idx="29">
                  <c:v>0.90179060244811937</c:v>
                </c:pt>
                <c:pt idx="30">
                  <c:v>0.89655504096732364</c:v>
                </c:pt>
                <c:pt idx="31">
                  <c:v>0.89187003492929051</c:v>
                </c:pt>
                <c:pt idx="32">
                  <c:v>0.88765953620427185</c:v>
                </c:pt>
                <c:pt idx="33">
                  <c:v>0.88386040165080715</c:v>
                </c:pt>
                <c:pt idx="34">
                  <c:v>0.88041981569112804</c:v>
                </c:pt>
                <c:pt idx="35">
                  <c:v>0.87729330093076763</c:v>
                </c:pt>
                <c:pt idx="36">
                  <c:v>0.87444316688412227</c:v>
                </c:pt>
                <c:pt idx="37">
                  <c:v>0.87183728888655065</c:v>
                </c:pt>
                <c:pt idx="38">
                  <c:v>0.86944813851835334</c:v>
                </c:pt>
                <c:pt idx="39">
                  <c:v>0.86725200750556919</c:v>
                </c:pt>
                <c:pt idx="40">
                  <c:v>0.86522838181788053</c:v>
                </c:pt>
                <c:pt idx="41">
                  <c:v>0.86335943335896492</c:v>
                </c:pt>
                <c:pt idx="42">
                  <c:v>0.86162960445400039</c:v>
                </c:pt>
                <c:pt idx="43">
                  <c:v>0.86002526611114749</c:v>
                </c:pt>
                <c:pt idx="44">
                  <c:v>0.85853443534157237</c:v>
                </c:pt>
                <c:pt idx="45">
                  <c:v>0.8571465400666427</c:v>
                </c:pt>
                <c:pt idx="46">
                  <c:v>0.85585222260468841</c:v>
                </c:pt>
                <c:pt idx="47">
                  <c:v>0.85464317461589656</c:v>
                </c:pt>
                <c:pt idx="48">
                  <c:v>0.85351199783871212</c:v>
                </c:pt>
                <c:pt idx="49">
                  <c:v>0.85245208608122602</c:v>
                </c:pt>
                <c:pt idx="50">
                  <c:v>0.85145752481480053</c:v>
                </c:pt>
                <c:pt idx="51">
                  <c:v>0.85052300541266257</c:v>
                </c:pt>
                <c:pt idx="52">
                  <c:v>0.84964375162684214</c:v>
                </c:pt>
                <c:pt idx="53">
                  <c:v>0.84881545633529576</c:v>
                </c:pt>
                <c:pt idx="54">
                  <c:v>0.84803422694203934</c:v>
                </c:pt>
                <c:pt idx="55">
                  <c:v>0.84729653809562322</c:v>
                </c:pt>
                <c:pt idx="56">
                  <c:v>0.84659919061965416</c:v>
                </c:pt>
                <c:pt idx="57">
                  <c:v>0.84593927573472183</c:v>
                </c:pt>
                <c:pt idx="58">
                  <c:v>0.84531414380253633</c:v>
                </c:pt>
                <c:pt idx="59">
                  <c:v>0.8447213769472115</c:v>
                </c:pt>
                <c:pt idx="60">
                  <c:v>0.8441587650108785</c:v>
                </c:pt>
                <c:pt idx="61">
                  <c:v>0.84362428438517423</c:v>
                </c:pt>
                <c:pt idx="62">
                  <c:v>0.84311607933023625</c:v>
                </c:pt>
                <c:pt idx="63">
                  <c:v>0.84263244545107274</c:v>
                </c:pt>
                <c:pt idx="64">
                  <c:v>0.84217181504991656</c:v>
                </c:pt>
                <c:pt idx="65">
                  <c:v>0.84173274411394272</c:v>
                </c:pt>
                <c:pt idx="66">
                  <c:v>0.84131390073206014</c:v>
                </c:pt>
                <c:pt idx="67">
                  <c:v>0.8409140547634163</c:v>
                </c:pt>
                <c:pt idx="68">
                  <c:v>0.84053206860474439</c:v>
                </c:pt>
                <c:pt idx="69">
                  <c:v>0.84016688892445435</c:v>
                </c:pt>
                <c:pt idx="70">
                  <c:v>0.83981753924901204</c:v>
                </c:pt>
                <c:pt idx="71">
                  <c:v>0.83948311330226399</c:v>
                </c:pt>
              </c:numCache>
            </c:numRef>
          </c:yVal>
          <c:smooth val="1"/>
          <c:extLst>
            <c:ext xmlns:c16="http://schemas.microsoft.com/office/drawing/2014/chart" uri="{C3380CC4-5D6E-409C-BE32-E72D297353CC}">
              <c16:uniqueId val="{00000003-252A-4757-AA38-AD4C02017AEC}"/>
            </c:ext>
          </c:extLst>
        </c:ser>
        <c:dLbls>
          <c:showLegendKey val="0"/>
          <c:showVal val="0"/>
          <c:showCatName val="0"/>
          <c:showSerName val="0"/>
          <c:showPercent val="0"/>
          <c:showBubbleSize val="0"/>
        </c:dLbls>
        <c:axId val="153833472"/>
        <c:axId val="153835392"/>
      </c:scatterChart>
      <c:valAx>
        <c:axId val="153833472"/>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overlay val="0"/>
        </c:title>
        <c:numFmt formatCode="0.00" sourceLinked="1"/>
        <c:majorTickMark val="out"/>
        <c:minorTickMark val="none"/>
        <c:tickLblPos val="nextTo"/>
        <c:crossAx val="153835392"/>
        <c:crosses val="autoZero"/>
        <c:crossBetween val="midCat"/>
        <c:majorUnit val="0.5"/>
        <c:minorUnit val="0.1"/>
      </c:valAx>
      <c:valAx>
        <c:axId val="153835392"/>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overlay val="0"/>
        </c:title>
        <c:numFmt formatCode="0.00" sourceLinked="1"/>
        <c:majorTickMark val="out"/>
        <c:minorTickMark val="none"/>
        <c:tickLblPos val="nextTo"/>
        <c:crossAx val="153833472"/>
        <c:crosses val="autoZero"/>
        <c:crossBetween val="midCat"/>
        <c:min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calculations'!$R$66:$R$136</c:f>
              <c:numCache>
                <c:formatCode>0.00</c:formatCode>
                <c:ptCount val="71"/>
                <c:pt idx="0">
                  <c:v>0</c:v>
                </c:pt>
                <c:pt idx="1">
                  <c:v>1.2209725965867651E-2</c:v>
                </c:pt>
                <c:pt idx="2">
                  <c:v>5.1026405786742439E-2</c:v>
                </c:pt>
                <c:pt idx="3">
                  <c:v>0.1240432245709224</c:v>
                </c:pt>
                <c:pt idx="4">
                  <c:v>0.24833127752185138</c:v>
                </c:pt>
                <c:pt idx="5">
                  <c:v>0.46215441937807933</c:v>
                </c:pt>
                <c:pt idx="6">
                  <c:v>0.86205249354355673</c:v>
                </c:pt>
                <c:pt idx="7">
                  <c:v>1.7390876613340982</c:v>
                </c:pt>
                <c:pt idx="8">
                  <c:v>3.6945087199053392</c:v>
                </c:pt>
                <c:pt idx="9">
                  <c:v>3.5462112213594308</c:v>
                </c:pt>
                <c:pt idx="10">
                  <c:v>2.3883827252801395</c:v>
                </c:pt>
                <c:pt idx="11">
                  <c:v>1.8401740771532631</c:v>
                </c:pt>
                <c:pt idx="12">
                  <c:v>1.5528925779050506</c:v>
                </c:pt>
                <c:pt idx="13">
                  <c:v>1.3808071122459111</c:v>
                </c:pt>
                <c:pt idx="14">
                  <c:v>1.2677140265177149</c:v>
                </c:pt>
                <c:pt idx="15">
                  <c:v>1.1884135536071616</c:v>
                </c:pt>
                <c:pt idx="16">
                  <c:v>1.1301116299845095</c:v>
                </c:pt>
                <c:pt idx="17">
                  <c:v>1.0856743951891328</c:v>
                </c:pt>
                <c:pt idx="18">
                  <c:v>1.0508289429680877</c:v>
                </c:pt>
                <c:pt idx="19">
                  <c:v>1.022868560662211</c:v>
                </c:pt>
                <c:pt idx="20">
                  <c:v>1</c:v>
                </c:pt>
                <c:pt idx="21">
                  <c:v>0.98099082761056222</c:v>
                </c:pt>
                <c:pt idx="22">
                  <c:v>0.9649678003005312</c:v>
                </c:pt>
                <c:pt idx="23">
                  <c:v>0.95129603202414215</c:v>
                </c:pt>
                <c:pt idx="24">
                  <c:v>0.93950364652764728</c:v>
                </c:pt>
                <c:pt idx="25">
                  <c:v>0.92923317281024764</c:v>
                </c:pt>
                <c:pt idx="26">
                  <c:v>0.92020925981414947</c:v>
                </c:pt>
                <c:pt idx="27">
                  <c:v>0.91221667624533154</c:v>
                </c:pt>
                <c:pt idx="28">
                  <c:v>0.90508497832955515</c:v>
                </c:pt>
                <c:pt idx="29">
                  <c:v>0.89867760960219245</c:v>
                </c:pt>
                <c:pt idx="30">
                  <c:v>0.89288401260931283</c:v>
                </c:pt>
                <c:pt idx="31">
                  <c:v>0.88761382843787706</c:v>
                </c:pt>
                <c:pt idx="32">
                  <c:v>0.88279256957356511</c:v>
                </c:pt>
                <c:pt idx="33">
                  <c:v>0.8783583493722481</c:v>
                </c:pt>
                <c:pt idx="34">
                  <c:v>0.87425938049784024</c:v>
                </c:pt>
                <c:pt idx="35">
                  <c:v>0.87045204053607528</c:v>
                </c:pt>
                <c:pt idx="36">
                  <c:v>0.86689936111683441</c:v>
                </c:pt>
                <c:pt idx="37">
                  <c:v>0.86356983686233324</c:v>
                </c:pt>
                <c:pt idx="38">
                  <c:v>0.86043647839409998</c:v>
                </c:pt>
                <c:pt idx="39">
                  <c:v>0.85747605338830102</c:v>
                </c:pt>
                <c:pt idx="40">
                  <c:v>0.85466847382840705</c:v>
                </c:pt>
                <c:pt idx="41">
                  <c:v>0.85199629787150277</c:v>
                </c:pt>
                <c:pt idx="42">
                  <c:v>0.84944432227090982</c:v>
                </c:pt>
                <c:pt idx="43">
                  <c:v>0.84699924687126227</c:v>
                </c:pt>
                <c:pt idx="44">
                  <c:v>0.84464939685872831</c:v>
                </c:pt>
                <c:pt idx="45">
                  <c:v>0.84238449159170536</c:v>
                </c:pt>
                <c:pt idx="46">
                  <c:v>0.84019545122752659</c:v>
                </c:pt>
                <c:pt idx="47">
                  <c:v>0.8380742341929206</c:v>
                </c:pt>
                <c:pt idx="48">
                  <c:v>0.8360136999609652</c:v>
                </c:pt>
                <c:pt idx="49">
                  <c:v>0.83400749269762398</c:v>
                </c:pt>
                <c:pt idx="50">
                  <c:v>0.83204994220240314</c:v>
                </c:pt>
                <c:pt idx="51">
                  <c:v>0.83013597924619476</c:v>
                </c:pt>
                <c:pt idx="52">
                  <c:v>0.82826106294716229</c:v>
                </c:pt>
                <c:pt idx="53">
                  <c:v>0.82642111825398579</c:v>
                </c:pt>
                <c:pt idx="54">
                  <c:v>0.82461248194919134</c:v>
                </c:pt>
                <c:pt idx="55">
                  <c:v>0.82283185586173102</c:v>
                </c:pt>
                <c:pt idx="56">
                  <c:v>0.82107626620178209</c:v>
                </c:pt>
                <c:pt idx="57">
                  <c:v>0.81934302811260018</c:v>
                </c:pt>
                <c:pt idx="58">
                  <c:v>0.81762971468288581</c:v>
                </c:pt>
                <c:pt idx="59">
                  <c:v>0.81593412978490887</c:v>
                </c:pt>
                <c:pt idx="60">
                  <c:v>0.81425428420397483</c:v>
                </c:pt>
                <c:pt idx="61">
                  <c:v>0.81258837460779854</c:v>
                </c:pt>
                <c:pt idx="62">
                  <c:v>0.81093476497312511</c:v>
                </c:pt>
                <c:pt idx="63">
                  <c:v>0.809291970144279</c:v>
                </c:pt>
                <c:pt idx="64">
                  <c:v>0.80765864124621212</c:v>
                </c:pt>
                <c:pt idx="65">
                  <c:v>0.80603355271479415</c:v>
                </c:pt>
                <c:pt idx="66">
                  <c:v>0.80441559074083768</c:v>
                </c:pt>
                <c:pt idx="67">
                  <c:v>0.80280374295287782</c:v>
                </c:pt>
                <c:pt idx="68">
                  <c:v>0.80119708918782639</c:v>
                </c:pt>
                <c:pt idx="69">
                  <c:v>0.79959479321909632</c:v>
                </c:pt>
                <c:pt idx="70">
                  <c:v>0.79799609532921589</c:v>
                </c:pt>
              </c:numCache>
            </c:numRef>
          </c:yVal>
          <c:smooth val="1"/>
          <c:extLst>
            <c:ext xmlns:c16="http://schemas.microsoft.com/office/drawing/2014/chart" uri="{C3380CC4-5D6E-409C-BE32-E72D297353CC}">
              <c16:uniqueId val="{00000000-A32C-4883-8D57-83DB34370B4E}"/>
            </c:ext>
          </c:extLst>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1.05</c:v>
                </c:pt>
                <c:pt idx="1">
                  <c:v>1.05</c:v>
                </c:pt>
                <c:pt idx="2">
                  <c:v>1.05</c:v>
                </c:pt>
                <c:pt idx="3">
                  <c:v>1.05</c:v>
                </c:pt>
                <c:pt idx="4">
                  <c:v>1.05</c:v>
                </c:pt>
                <c:pt idx="5">
                  <c:v>1.05</c:v>
                </c:pt>
                <c:pt idx="6">
                  <c:v>1.05</c:v>
                </c:pt>
                <c:pt idx="7">
                  <c:v>1.05</c:v>
                </c:pt>
                <c:pt idx="8">
                  <c:v>1.05</c:v>
                </c:pt>
                <c:pt idx="9">
                  <c:v>1.05</c:v>
                </c:pt>
                <c:pt idx="10">
                  <c:v>1.05</c:v>
                </c:pt>
                <c:pt idx="11">
                  <c:v>1.05</c:v>
                </c:pt>
                <c:pt idx="12">
                  <c:v>1.05</c:v>
                </c:pt>
                <c:pt idx="13">
                  <c:v>1.05</c:v>
                </c:pt>
                <c:pt idx="14">
                  <c:v>1.05</c:v>
                </c:pt>
                <c:pt idx="15">
                  <c:v>1.05</c:v>
                </c:pt>
                <c:pt idx="16">
                  <c:v>1.05</c:v>
                </c:pt>
                <c:pt idx="17">
                  <c:v>1.05</c:v>
                </c:pt>
                <c:pt idx="18">
                  <c:v>1.05</c:v>
                </c:pt>
                <c:pt idx="19">
                  <c:v>1.05</c:v>
                </c:pt>
                <c:pt idx="20">
                  <c:v>1.05</c:v>
                </c:pt>
                <c:pt idx="21">
                  <c:v>1.05</c:v>
                </c:pt>
                <c:pt idx="22">
                  <c:v>1.05</c:v>
                </c:pt>
                <c:pt idx="23">
                  <c:v>1.05</c:v>
                </c:pt>
                <c:pt idx="24">
                  <c:v>1.05</c:v>
                </c:pt>
                <c:pt idx="25">
                  <c:v>1.05</c:v>
                </c:pt>
                <c:pt idx="26">
                  <c:v>1.05</c:v>
                </c:pt>
                <c:pt idx="27">
                  <c:v>1.05</c:v>
                </c:pt>
                <c:pt idx="28">
                  <c:v>1.05</c:v>
                </c:pt>
                <c:pt idx="29">
                  <c:v>1.05</c:v>
                </c:pt>
                <c:pt idx="30">
                  <c:v>1.05</c:v>
                </c:pt>
                <c:pt idx="31">
                  <c:v>1.05</c:v>
                </c:pt>
                <c:pt idx="32">
                  <c:v>1.05</c:v>
                </c:pt>
                <c:pt idx="33">
                  <c:v>1.05</c:v>
                </c:pt>
                <c:pt idx="34">
                  <c:v>1.05</c:v>
                </c:pt>
                <c:pt idx="35">
                  <c:v>1.05</c:v>
                </c:pt>
                <c:pt idx="36">
                  <c:v>1.05</c:v>
                </c:pt>
                <c:pt idx="37">
                  <c:v>1.05</c:v>
                </c:pt>
                <c:pt idx="38">
                  <c:v>1.05</c:v>
                </c:pt>
                <c:pt idx="39">
                  <c:v>1.05</c:v>
                </c:pt>
                <c:pt idx="40">
                  <c:v>1.05</c:v>
                </c:pt>
                <c:pt idx="41">
                  <c:v>1.05</c:v>
                </c:pt>
                <c:pt idx="42">
                  <c:v>1.05</c:v>
                </c:pt>
                <c:pt idx="43">
                  <c:v>1.05</c:v>
                </c:pt>
                <c:pt idx="44">
                  <c:v>1.05</c:v>
                </c:pt>
                <c:pt idx="45">
                  <c:v>1.05</c:v>
                </c:pt>
                <c:pt idx="46">
                  <c:v>1.05</c:v>
                </c:pt>
                <c:pt idx="47">
                  <c:v>1.05</c:v>
                </c:pt>
                <c:pt idx="48">
                  <c:v>1.05</c:v>
                </c:pt>
                <c:pt idx="49">
                  <c:v>1.05</c:v>
                </c:pt>
                <c:pt idx="50">
                  <c:v>1.05</c:v>
                </c:pt>
                <c:pt idx="51">
                  <c:v>1.05</c:v>
                </c:pt>
                <c:pt idx="52">
                  <c:v>1.05</c:v>
                </c:pt>
                <c:pt idx="53">
                  <c:v>1.05</c:v>
                </c:pt>
                <c:pt idx="54">
                  <c:v>1.05</c:v>
                </c:pt>
                <c:pt idx="55">
                  <c:v>1.05</c:v>
                </c:pt>
                <c:pt idx="56">
                  <c:v>1.05</c:v>
                </c:pt>
                <c:pt idx="57">
                  <c:v>1.05</c:v>
                </c:pt>
                <c:pt idx="58">
                  <c:v>1.05</c:v>
                </c:pt>
                <c:pt idx="59">
                  <c:v>1.05</c:v>
                </c:pt>
                <c:pt idx="60">
                  <c:v>1.05</c:v>
                </c:pt>
                <c:pt idx="61">
                  <c:v>1.05</c:v>
                </c:pt>
                <c:pt idx="62">
                  <c:v>1.05</c:v>
                </c:pt>
                <c:pt idx="63">
                  <c:v>1.05</c:v>
                </c:pt>
                <c:pt idx="64">
                  <c:v>1.05</c:v>
                </c:pt>
                <c:pt idx="65">
                  <c:v>1.05</c:v>
                </c:pt>
                <c:pt idx="66">
                  <c:v>1.05</c:v>
                </c:pt>
                <c:pt idx="67">
                  <c:v>1.05</c:v>
                </c:pt>
                <c:pt idx="68">
                  <c:v>1.05</c:v>
                </c:pt>
                <c:pt idx="69">
                  <c:v>1.05</c:v>
                </c:pt>
                <c:pt idx="70">
                  <c:v>1.05</c:v>
                </c:pt>
                <c:pt idx="71">
                  <c:v>1.05</c:v>
                </c:pt>
              </c:numCache>
            </c:numRef>
          </c:yVal>
          <c:smooth val="1"/>
          <c:extLst>
            <c:ext xmlns:c16="http://schemas.microsoft.com/office/drawing/2014/chart" uri="{C3380CC4-5D6E-409C-BE32-E72D297353CC}">
              <c16:uniqueId val="{00000001-A32C-4883-8D57-83DB34370B4E}"/>
            </c:ext>
          </c:extLst>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0.97</c:v>
                </c:pt>
                <c:pt idx="1">
                  <c:v>0.97</c:v>
                </c:pt>
                <c:pt idx="2">
                  <c:v>0.97</c:v>
                </c:pt>
                <c:pt idx="3">
                  <c:v>0.97</c:v>
                </c:pt>
                <c:pt idx="4">
                  <c:v>0.97</c:v>
                </c:pt>
                <c:pt idx="5">
                  <c:v>0.97</c:v>
                </c:pt>
                <c:pt idx="6">
                  <c:v>0.97</c:v>
                </c:pt>
                <c:pt idx="7">
                  <c:v>0.97</c:v>
                </c:pt>
                <c:pt idx="8">
                  <c:v>0.97</c:v>
                </c:pt>
                <c:pt idx="9">
                  <c:v>0.97</c:v>
                </c:pt>
                <c:pt idx="10">
                  <c:v>0.97</c:v>
                </c:pt>
                <c:pt idx="11">
                  <c:v>0.97</c:v>
                </c:pt>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pt idx="26">
                  <c:v>0.97</c:v>
                </c:pt>
                <c:pt idx="27">
                  <c:v>0.97</c:v>
                </c:pt>
                <c:pt idx="28">
                  <c:v>0.97</c:v>
                </c:pt>
                <c:pt idx="29">
                  <c:v>0.97</c:v>
                </c:pt>
                <c:pt idx="30">
                  <c:v>0.97</c:v>
                </c:pt>
                <c:pt idx="31">
                  <c:v>0.97</c:v>
                </c:pt>
                <c:pt idx="32">
                  <c:v>0.97</c:v>
                </c:pt>
                <c:pt idx="33">
                  <c:v>0.97</c:v>
                </c:pt>
                <c:pt idx="34">
                  <c:v>0.97</c:v>
                </c:pt>
                <c:pt idx="35">
                  <c:v>0.97</c:v>
                </c:pt>
                <c:pt idx="36">
                  <c:v>0.97</c:v>
                </c:pt>
                <c:pt idx="37">
                  <c:v>0.97</c:v>
                </c:pt>
                <c:pt idx="38">
                  <c:v>0.97</c:v>
                </c:pt>
                <c:pt idx="39">
                  <c:v>0.97</c:v>
                </c:pt>
                <c:pt idx="40">
                  <c:v>0.97</c:v>
                </c:pt>
                <c:pt idx="41">
                  <c:v>0.97</c:v>
                </c:pt>
                <c:pt idx="42">
                  <c:v>0.97</c:v>
                </c:pt>
                <c:pt idx="43">
                  <c:v>0.97</c:v>
                </c:pt>
                <c:pt idx="44">
                  <c:v>0.97</c:v>
                </c:pt>
                <c:pt idx="45">
                  <c:v>0.97</c:v>
                </c:pt>
                <c:pt idx="46">
                  <c:v>0.97</c:v>
                </c:pt>
                <c:pt idx="47">
                  <c:v>0.97</c:v>
                </c:pt>
                <c:pt idx="48">
                  <c:v>0.97</c:v>
                </c:pt>
                <c:pt idx="49">
                  <c:v>0.97</c:v>
                </c:pt>
                <c:pt idx="50">
                  <c:v>0.97</c:v>
                </c:pt>
                <c:pt idx="51">
                  <c:v>0.97</c:v>
                </c:pt>
                <c:pt idx="52">
                  <c:v>0.97</c:v>
                </c:pt>
                <c:pt idx="53">
                  <c:v>0.97</c:v>
                </c:pt>
                <c:pt idx="54">
                  <c:v>0.97</c:v>
                </c:pt>
                <c:pt idx="55">
                  <c:v>0.97</c:v>
                </c:pt>
                <c:pt idx="56">
                  <c:v>0.97</c:v>
                </c:pt>
                <c:pt idx="57">
                  <c:v>0.97</c:v>
                </c:pt>
                <c:pt idx="58">
                  <c:v>0.97</c:v>
                </c:pt>
                <c:pt idx="59">
                  <c:v>0.97</c:v>
                </c:pt>
                <c:pt idx="60">
                  <c:v>0.97</c:v>
                </c:pt>
                <c:pt idx="61">
                  <c:v>0.97</c:v>
                </c:pt>
                <c:pt idx="62">
                  <c:v>0.97</c:v>
                </c:pt>
                <c:pt idx="63">
                  <c:v>0.97</c:v>
                </c:pt>
                <c:pt idx="64">
                  <c:v>0.97</c:v>
                </c:pt>
                <c:pt idx="65">
                  <c:v>0.97</c:v>
                </c:pt>
                <c:pt idx="66">
                  <c:v>0.97</c:v>
                </c:pt>
                <c:pt idx="67">
                  <c:v>0.97</c:v>
                </c:pt>
                <c:pt idx="68">
                  <c:v>0.97</c:v>
                </c:pt>
                <c:pt idx="69">
                  <c:v>0.97</c:v>
                </c:pt>
                <c:pt idx="70">
                  <c:v>0.97</c:v>
                </c:pt>
                <c:pt idx="71">
                  <c:v>0.97</c:v>
                </c:pt>
              </c:numCache>
            </c:numRef>
          </c:yVal>
          <c:smooth val="1"/>
          <c:extLst>
            <c:ext xmlns:c16="http://schemas.microsoft.com/office/drawing/2014/chart" uri="{C3380CC4-5D6E-409C-BE32-E72D297353CC}">
              <c16:uniqueId val="{00000002-A32C-4883-8D57-83DB34370B4E}"/>
            </c:ext>
          </c:extLst>
        </c:ser>
        <c:ser>
          <c:idx val="3"/>
          <c:order val="3"/>
          <c:spPr>
            <a:ln>
              <a:prstDash val="sysDash"/>
            </a:ln>
          </c:spPr>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calculations'!$AN$66:$AN$136</c:f>
              <c:numCache>
                <c:formatCode>0.00</c:formatCode>
                <c:ptCount val="71"/>
                <c:pt idx="0">
                  <c:v>0</c:v>
                </c:pt>
                <c:pt idx="1">
                  <c:v>1.2215076314497336E-2</c:v>
                </c:pt>
                <c:pt idx="2">
                  <c:v>5.1122783705597682E-2</c:v>
                </c:pt>
                <c:pt idx="3">
                  <c:v>0.12464581048991462</c:v>
                </c:pt>
                <c:pt idx="4">
                  <c:v>0.25097714391687626</c:v>
                </c:pt>
                <c:pt idx="5">
                  <c:v>0.47275330716177966</c:v>
                </c:pt>
                <c:pt idx="6">
                  <c:v>0.90915420564811156</c:v>
                </c:pt>
                <c:pt idx="7">
                  <c:v>2.0504226521813624</c:v>
                </c:pt>
                <c:pt idx="8">
                  <c:v>11.065976325685602</c:v>
                </c:pt>
                <c:pt idx="9">
                  <c:v>5.4917486132949831</c:v>
                </c:pt>
                <c:pt idx="10">
                  <c:v>2.6528715577735111</c:v>
                </c:pt>
                <c:pt idx="11">
                  <c:v>1.9189212484195366</c:v>
                </c:pt>
                <c:pt idx="12">
                  <c:v>1.5853278961385651</c:v>
                </c:pt>
                <c:pt idx="13">
                  <c:v>1.3964055252243659</c:v>
                </c:pt>
                <c:pt idx="14">
                  <c:v>1.2757720176361003</c:v>
                </c:pt>
                <c:pt idx="15">
                  <c:v>1.1926514245922504</c:v>
                </c:pt>
                <c:pt idx="16">
                  <c:v>1.1322749852976306</c:v>
                </c:pt>
                <c:pt idx="17">
                  <c:v>1.0866824510298867</c:v>
                </c:pt>
                <c:pt idx="18">
                  <c:v>1.0512108415993358</c:v>
                </c:pt>
                <c:pt idx="19">
                  <c:v>1.0229517691524819</c:v>
                </c:pt>
                <c:pt idx="20">
                  <c:v>1</c:v>
                </c:pt>
                <c:pt idx="21">
                  <c:v>0.98105723267587797</c:v>
                </c:pt>
                <c:pt idx="22">
                  <c:v>0.96520959570060216</c:v>
                </c:pt>
                <c:pt idx="23">
                  <c:v>0.95179611987633639</c:v>
                </c:pt>
                <c:pt idx="24">
                  <c:v>0.94032759952723022</c:v>
                </c:pt>
                <c:pt idx="25">
                  <c:v>0.93043470105328308</c:v>
                </c:pt>
                <c:pt idx="26">
                  <c:v>0.9218337356030869</c:v>
                </c:pt>
                <c:pt idx="27">
                  <c:v>0.91430347080747409</c:v>
                </c:pt>
                <c:pt idx="28">
                  <c:v>0.90766904919036695</c:v>
                </c:pt>
                <c:pt idx="29">
                  <c:v>0.90179060244811937</c:v>
                </c:pt>
                <c:pt idx="30">
                  <c:v>0.89655504096732364</c:v>
                </c:pt>
                <c:pt idx="31">
                  <c:v>0.89187003492929051</c:v>
                </c:pt>
                <c:pt idx="32">
                  <c:v>0.88765953620427185</c:v>
                </c:pt>
                <c:pt idx="33">
                  <c:v>0.88386040165080715</c:v>
                </c:pt>
                <c:pt idx="34">
                  <c:v>0.88041981569112804</c:v>
                </c:pt>
                <c:pt idx="35">
                  <c:v>0.87729330093076763</c:v>
                </c:pt>
                <c:pt idx="36">
                  <c:v>0.87444316688412227</c:v>
                </c:pt>
                <c:pt idx="37">
                  <c:v>0.87183728888655065</c:v>
                </c:pt>
                <c:pt idx="38">
                  <c:v>0.86944813851835334</c:v>
                </c:pt>
                <c:pt idx="39">
                  <c:v>0.86725200750556919</c:v>
                </c:pt>
                <c:pt idx="40">
                  <c:v>0.86522838181788053</c:v>
                </c:pt>
                <c:pt idx="41">
                  <c:v>0.86335943335896492</c:v>
                </c:pt>
                <c:pt idx="42">
                  <c:v>0.86162960445400039</c:v>
                </c:pt>
                <c:pt idx="43">
                  <c:v>0.86002526611114749</c:v>
                </c:pt>
                <c:pt idx="44">
                  <c:v>0.85853443534157237</c:v>
                </c:pt>
                <c:pt idx="45">
                  <c:v>0.8571465400666427</c:v>
                </c:pt>
                <c:pt idx="46">
                  <c:v>0.85585222260468841</c:v>
                </c:pt>
                <c:pt idx="47">
                  <c:v>0.85464317461589656</c:v>
                </c:pt>
                <c:pt idx="48">
                  <c:v>0.85351199783871212</c:v>
                </c:pt>
                <c:pt idx="49">
                  <c:v>0.85245208608122602</c:v>
                </c:pt>
                <c:pt idx="50">
                  <c:v>0.85145752481480053</c:v>
                </c:pt>
                <c:pt idx="51">
                  <c:v>0.85052300541266257</c:v>
                </c:pt>
                <c:pt idx="52">
                  <c:v>0.84964375162684214</c:v>
                </c:pt>
                <c:pt idx="53">
                  <c:v>0.84881545633529576</c:v>
                </c:pt>
                <c:pt idx="54">
                  <c:v>0.84803422694203934</c:v>
                </c:pt>
                <c:pt idx="55">
                  <c:v>0.84729653809562322</c:v>
                </c:pt>
                <c:pt idx="56">
                  <c:v>0.84659919061965416</c:v>
                </c:pt>
                <c:pt idx="57">
                  <c:v>0.84593927573472183</c:v>
                </c:pt>
                <c:pt idx="58">
                  <c:v>0.84531414380253633</c:v>
                </c:pt>
                <c:pt idx="59">
                  <c:v>0.8447213769472115</c:v>
                </c:pt>
                <c:pt idx="60">
                  <c:v>0.8441587650108785</c:v>
                </c:pt>
                <c:pt idx="61">
                  <c:v>0.84362428438517423</c:v>
                </c:pt>
                <c:pt idx="62">
                  <c:v>0.84311607933023625</c:v>
                </c:pt>
                <c:pt idx="63">
                  <c:v>0.84263244545107274</c:v>
                </c:pt>
                <c:pt idx="64">
                  <c:v>0.84217181504991656</c:v>
                </c:pt>
                <c:pt idx="65">
                  <c:v>0.84173274411394272</c:v>
                </c:pt>
                <c:pt idx="66">
                  <c:v>0.84131390073206014</c:v>
                </c:pt>
                <c:pt idx="67">
                  <c:v>0.8409140547634163</c:v>
                </c:pt>
                <c:pt idx="68">
                  <c:v>0.84053206860474439</c:v>
                </c:pt>
                <c:pt idx="69">
                  <c:v>0.84016688892445435</c:v>
                </c:pt>
                <c:pt idx="70">
                  <c:v>0.83981753924901204</c:v>
                </c:pt>
              </c:numCache>
            </c:numRef>
          </c:yVal>
          <c:smooth val="1"/>
          <c:extLst>
            <c:ext xmlns:c16="http://schemas.microsoft.com/office/drawing/2014/chart" uri="{C3380CC4-5D6E-409C-BE32-E72D297353CC}">
              <c16:uniqueId val="{00000003-A32C-4883-8D57-83DB34370B4E}"/>
            </c:ext>
          </c:extLst>
        </c:ser>
        <c:dLbls>
          <c:showLegendKey val="0"/>
          <c:showVal val="0"/>
          <c:showCatName val="0"/>
          <c:showSerName val="0"/>
          <c:showPercent val="0"/>
          <c:showBubbleSize val="0"/>
        </c:dLbls>
        <c:axId val="153773184"/>
        <c:axId val="153775104"/>
      </c:scatterChart>
      <c:valAx>
        <c:axId val="153773184"/>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overlay val="0"/>
        </c:title>
        <c:numFmt formatCode="0.00" sourceLinked="1"/>
        <c:majorTickMark val="out"/>
        <c:minorTickMark val="none"/>
        <c:tickLblPos val="nextTo"/>
        <c:crossAx val="153775104"/>
        <c:crosses val="autoZero"/>
        <c:crossBetween val="midCat"/>
        <c:majorUnit val="0.5"/>
        <c:minorUnit val="0.1"/>
      </c:valAx>
      <c:valAx>
        <c:axId val="153775104"/>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overlay val="0"/>
        </c:title>
        <c:numFmt formatCode="0.00" sourceLinked="1"/>
        <c:majorTickMark val="out"/>
        <c:minorTickMark val="none"/>
        <c:tickLblPos val="nextTo"/>
        <c:crossAx val="153773184"/>
        <c:crosses val="autoZero"/>
        <c:crossBetween val="midCat"/>
        <c:min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extLst>
            <c:ext xmlns:c16="http://schemas.microsoft.com/office/drawing/2014/chart" uri="{C3380CC4-5D6E-409C-BE32-E72D297353CC}">
              <c16:uniqueId val="{00000000-8A44-41BD-A7FE-4FC3EDB3750D}"/>
            </c:ext>
          </c:extLst>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extLst>
            <c:ext xmlns:c16="http://schemas.microsoft.com/office/drawing/2014/chart" uri="{C3380CC4-5D6E-409C-BE32-E72D297353CC}">
              <c16:uniqueId val="{00000001-8A44-41BD-A7FE-4FC3EDB3750D}"/>
            </c:ext>
          </c:extLst>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extLst>
            <c:ext xmlns:c16="http://schemas.microsoft.com/office/drawing/2014/chart" uri="{C3380CC4-5D6E-409C-BE32-E72D297353CC}">
              <c16:uniqueId val="{00000002-8A44-41BD-A7FE-4FC3EDB3750D}"/>
            </c:ext>
          </c:extLst>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extLst>
            <c:ext xmlns:c16="http://schemas.microsoft.com/office/drawing/2014/chart" uri="{C3380CC4-5D6E-409C-BE32-E72D297353CC}">
              <c16:uniqueId val="{00000003-8A44-41BD-A7FE-4FC3EDB3750D}"/>
            </c:ext>
          </c:extLst>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extLst>
            <c:ext xmlns:c16="http://schemas.microsoft.com/office/drawing/2014/chart" uri="{C3380CC4-5D6E-409C-BE32-E72D297353CC}">
              <c16:uniqueId val="{00000004-8A44-41BD-A7FE-4FC3EDB3750D}"/>
            </c:ext>
          </c:extLst>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extLst>
            <c:ext xmlns:c16="http://schemas.microsoft.com/office/drawing/2014/chart" uri="{C3380CC4-5D6E-409C-BE32-E72D297353CC}">
              <c16:uniqueId val="{00000005-8A44-41BD-A7FE-4FC3EDB3750D}"/>
            </c:ext>
          </c:extLst>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extLst>
            <c:ext xmlns:c16="http://schemas.microsoft.com/office/drawing/2014/chart" uri="{C3380CC4-5D6E-409C-BE32-E72D297353CC}">
              <c16:uniqueId val="{00000006-8A44-41BD-A7FE-4FC3EDB3750D}"/>
            </c:ext>
          </c:extLst>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extLst>
            <c:ext xmlns:c16="http://schemas.microsoft.com/office/drawing/2014/chart" uri="{C3380CC4-5D6E-409C-BE32-E72D297353CC}">
              <c16:uniqueId val="{00000007-8A44-41BD-A7FE-4FC3EDB3750D}"/>
            </c:ext>
          </c:extLst>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extLst>
            <c:ext xmlns:c16="http://schemas.microsoft.com/office/drawing/2014/chart" uri="{C3380CC4-5D6E-409C-BE32-E72D297353CC}">
              <c16:uniqueId val="{00000008-8A44-41BD-A7FE-4FC3EDB3750D}"/>
            </c:ext>
          </c:extLst>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extLst>
            <c:ext xmlns:c16="http://schemas.microsoft.com/office/drawing/2014/chart" uri="{C3380CC4-5D6E-409C-BE32-E72D297353CC}">
              <c16:uniqueId val="{00000009-8A44-41BD-A7FE-4FC3EDB3750D}"/>
            </c:ext>
          </c:extLst>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extLst>
            <c:ext xmlns:c16="http://schemas.microsoft.com/office/drawing/2014/chart" uri="{C3380CC4-5D6E-409C-BE32-E72D297353CC}">
              <c16:uniqueId val="{0000000A-8A44-41BD-A7FE-4FC3EDB3750D}"/>
            </c:ext>
          </c:extLst>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extLst>
            <c:ext xmlns:c16="http://schemas.microsoft.com/office/drawing/2014/chart" uri="{C3380CC4-5D6E-409C-BE32-E72D297353CC}">
              <c16:uniqueId val="{0000000B-8A44-41BD-A7FE-4FC3EDB3750D}"/>
            </c:ext>
          </c:extLst>
        </c:ser>
        <c:dLbls>
          <c:showLegendKey val="0"/>
          <c:showVal val="0"/>
          <c:showCatName val="0"/>
          <c:showSerName val="0"/>
          <c:showPercent val="0"/>
          <c:showBubbleSize val="0"/>
        </c:dLbls>
        <c:axId val="159872896"/>
        <c:axId val="159887360"/>
      </c:scatterChart>
      <c:valAx>
        <c:axId val="159872896"/>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overlay val="0"/>
        </c:title>
        <c:numFmt formatCode="#,##0.00" sourceLinked="0"/>
        <c:majorTickMark val="out"/>
        <c:minorTickMark val="none"/>
        <c:tickLblPos val="nextTo"/>
        <c:txPr>
          <a:bodyPr rot="-5400000" vert="horz"/>
          <a:lstStyle/>
          <a:p>
            <a:pPr>
              <a:defRPr/>
            </a:pPr>
            <a:endParaRPr lang="ja-JP"/>
          </a:p>
        </c:txPr>
        <c:crossAx val="159887360"/>
        <c:crosses val="autoZero"/>
        <c:crossBetween val="midCat"/>
        <c:majorUnit val="5.000000000000001E-2"/>
        <c:minorUnit val="1.0000000000000002E-2"/>
      </c:valAx>
      <c:valAx>
        <c:axId val="159887360"/>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overlay val="0"/>
        </c:title>
        <c:numFmt formatCode="#,##0.0" sourceLinked="0"/>
        <c:majorTickMark val="out"/>
        <c:minorTickMark val="none"/>
        <c:tickLblPos val="nextTo"/>
        <c:crossAx val="159872896"/>
        <c:crosses val="autoZero"/>
        <c:crossBetween val="midCat"/>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257175</xdr:colOff>
          <xdr:row>1</xdr:row>
          <xdr:rowOff>104775</xdr:rowOff>
        </xdr:from>
        <xdr:to>
          <xdr:col>13</xdr:col>
          <xdr:colOff>76200</xdr:colOff>
          <xdr:row>33</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49868</xdr:colOff>
      <xdr:row>56</xdr:row>
      <xdr:rowOff>104974</xdr:rowOff>
    </xdr:from>
    <xdr:to>
      <xdr:col>4</xdr:col>
      <xdr:colOff>7375071</xdr:colOff>
      <xdr:row>88</xdr:row>
      <xdr:rowOff>119344</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61</xdr:row>
      <xdr:rowOff>76199</xdr:rowOff>
    </xdr:from>
    <xdr:to>
      <xdr:col>3</xdr:col>
      <xdr:colOff>161925</xdr:colOff>
      <xdr:row>87</xdr:row>
      <xdr:rowOff>171450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578427</xdr:colOff>
      <xdr:row>140</xdr:row>
      <xdr:rowOff>5194</xdr:rowOff>
    </xdr:from>
    <xdr:to>
      <xdr:col>10</xdr:col>
      <xdr:colOff>923926</xdr:colOff>
      <xdr:row>166</xdr:row>
      <xdr:rowOff>14720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597101</xdr:colOff>
      <xdr:row>24</xdr:row>
      <xdr:rowOff>170169</xdr:rowOff>
    </xdr:from>
    <xdr:to>
      <xdr:col>8</xdr:col>
      <xdr:colOff>707572</xdr:colOff>
      <xdr:row>60</xdr:row>
      <xdr:rowOff>85355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0</xdr:row>
      <xdr:rowOff>176892</xdr:rowOff>
    </xdr:from>
    <xdr:ext cx="4803303" cy="264560"/>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71500" y="176892"/>
          <a:ext cx="48033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Mg_max values were</a:t>
          </a:r>
          <a:r>
            <a:rPr lang="en-US" sz="1100" baseline="0"/>
            <a:t> calculated in MathCad and imported here for graphing</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799100/Desktop/Emei%20UCC28180/Design%20Calculator/UCC28180%20Design%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0799100/Desktop/UCC28740%20FlyLight/Design%20Calculator/SLUC487_UCC28740%20Design%20Calculator_Rev%20A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INPUTS AND CALCULATIONS"/>
      <sheetName val="SCHEMATIC"/>
      <sheetName val="data"/>
      <sheetName val="Sheet1"/>
    </sheetNames>
    <sheetDataSet>
      <sheetData sheetId="0" refreshError="1"/>
      <sheetData sheetId="1" refreshError="1"/>
      <sheetData sheetId="2">
        <row r="7">
          <cell r="H7">
            <v>1000</v>
          </cell>
        </row>
        <row r="18">
          <cell r="H18">
            <v>1000</v>
          </cell>
        </row>
        <row r="22">
          <cell r="H22">
            <v>1000000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SCHEMATIC AND BoM"/>
      <sheetName val="CALCULATIONS"/>
      <sheetName val="LOOKUP TABLES AND DROPDOWN LIST"/>
      <sheetName val="Sheet1"/>
    </sheetNames>
    <sheetDataSet>
      <sheetData sheetId="0" refreshError="1"/>
      <sheetData sheetId="1" refreshError="1"/>
      <sheetData sheetId="2">
        <row r="10">
          <cell r="C10">
            <v>127.27922061357856</v>
          </cell>
        </row>
        <row r="30">
          <cell r="C30">
            <v>13.78125</v>
          </cell>
        </row>
        <row r="35">
          <cell r="C35">
            <v>70.003571337468216</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Visio_2003-2010___.vsd"/></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5:D50"/>
  <sheetViews>
    <sheetView topLeftCell="A28" zoomScale="110" zoomScaleNormal="110" workbookViewId="0"/>
  </sheetViews>
  <sheetFormatPr defaultRowHeight="13.5" x14ac:dyDescent="0.15"/>
  <sheetData>
    <row r="35" spans="2:4" x14ac:dyDescent="0.15">
      <c r="B35" s="111" t="s">
        <v>223</v>
      </c>
      <c r="C35" s="111" t="s">
        <v>224</v>
      </c>
      <c r="D35" s="111" t="s">
        <v>225</v>
      </c>
    </row>
    <row r="36" spans="2:4" ht="16.5" x14ac:dyDescent="0.25">
      <c r="B36" s="64" t="s">
        <v>221</v>
      </c>
      <c r="C36" s="64">
        <f>'DESIGN INPUTS AND CALCULATIONS'!C156</f>
        <v>0.81</v>
      </c>
      <c r="D36" s="65" t="s">
        <v>154</v>
      </c>
    </row>
    <row r="37" spans="2:4" ht="16.5" x14ac:dyDescent="0.25">
      <c r="B37" s="64" t="s">
        <v>222</v>
      </c>
      <c r="C37" s="64">
        <f>'DESIGN INPUTS AND CALCULATIONS'!C158</f>
        <v>10</v>
      </c>
      <c r="D37" s="65" t="s">
        <v>155</v>
      </c>
    </row>
    <row r="38" spans="2:4" ht="18" x14ac:dyDescent="0.35">
      <c r="B38" s="68" t="s">
        <v>198</v>
      </c>
      <c r="C38" s="64">
        <f>'DESIGN INPUTS AND CALCULATIONS'!C214</f>
        <v>22</v>
      </c>
      <c r="D38" s="68" t="s">
        <v>204</v>
      </c>
    </row>
    <row r="39" spans="2:4" ht="18" x14ac:dyDescent="0.35">
      <c r="B39" s="68" t="s">
        <v>197</v>
      </c>
      <c r="C39" s="64">
        <f>'DESIGN INPUTS AND CALCULATIONS'!C212</f>
        <v>5.6</v>
      </c>
      <c r="D39" s="68" t="s">
        <v>204</v>
      </c>
    </row>
    <row r="40" spans="2:4" ht="18" x14ac:dyDescent="0.35">
      <c r="B40" s="68" t="s">
        <v>199</v>
      </c>
      <c r="C40" s="64">
        <f>'DESIGN INPUTS AND CALCULATIONS'!C226</f>
        <v>150</v>
      </c>
      <c r="D40" s="68" t="s">
        <v>71</v>
      </c>
    </row>
    <row r="41" spans="2:4" ht="18" x14ac:dyDescent="0.35">
      <c r="B41" s="68" t="s">
        <v>200</v>
      </c>
      <c r="C41" s="64">
        <f>'DESIGN INPUTS AND CALCULATIONS'!C228</f>
        <v>330</v>
      </c>
      <c r="D41" s="68" t="s">
        <v>163</v>
      </c>
    </row>
    <row r="42" spans="2:4" ht="18" x14ac:dyDescent="0.35">
      <c r="B42" s="68" t="s">
        <v>219</v>
      </c>
      <c r="C42" s="64">
        <f>'DESIGN INPUTS AND CALCULATIONS'!C172</f>
        <v>94</v>
      </c>
      <c r="D42" s="68" t="s">
        <v>71</v>
      </c>
    </row>
    <row r="43" spans="2:4" ht="18" x14ac:dyDescent="0.35">
      <c r="B43" s="68" t="s">
        <v>220</v>
      </c>
      <c r="C43" s="64">
        <f>'DESIGN INPUTS AND CALCULATIONS'!C174</f>
        <v>2460</v>
      </c>
      <c r="D43" s="68" t="s">
        <v>71</v>
      </c>
    </row>
    <row r="44" spans="2:4" ht="15" x14ac:dyDescent="0.25">
      <c r="B44" s="68" t="s">
        <v>226</v>
      </c>
      <c r="C44" s="64">
        <f>Lr</f>
        <v>2.7</v>
      </c>
      <c r="D44" s="68" t="s">
        <v>74</v>
      </c>
    </row>
    <row r="45" spans="2:4" ht="15" x14ac:dyDescent="0.25">
      <c r="B45" s="68" t="s">
        <v>227</v>
      </c>
      <c r="C45" s="64">
        <f>Lm</f>
        <v>13</v>
      </c>
      <c r="D45" s="68" t="s">
        <v>74</v>
      </c>
    </row>
    <row r="46" spans="2:4" ht="15" x14ac:dyDescent="0.25">
      <c r="B46" s="68" t="s">
        <v>228</v>
      </c>
      <c r="C46" s="64">
        <f>Cr</f>
        <v>0.23400000000000001</v>
      </c>
      <c r="D46" s="68" t="s">
        <v>229</v>
      </c>
    </row>
    <row r="47" spans="2:4" ht="18" x14ac:dyDescent="0.35">
      <c r="B47" s="68" t="s">
        <v>185</v>
      </c>
      <c r="C47" s="64">
        <f>'DESIGN INPUTS AND CALCULATIONS'!C186</f>
        <v>100</v>
      </c>
      <c r="D47" s="68" t="s">
        <v>164</v>
      </c>
    </row>
    <row r="48" spans="2:4" ht="18" x14ac:dyDescent="0.35">
      <c r="B48" s="70" t="s">
        <v>217</v>
      </c>
      <c r="C48" s="110">
        <f>'DESIGN INPUTS AND CALCULATIONS'!C200</f>
        <v>165</v>
      </c>
      <c r="D48" s="68" t="s">
        <v>204</v>
      </c>
    </row>
    <row r="49" spans="2:4" ht="18" x14ac:dyDescent="0.35">
      <c r="B49" s="70" t="s">
        <v>218</v>
      </c>
      <c r="C49" s="110">
        <f>'DESIGN INPUTS AND CALCULATIONS'!C202</f>
        <v>100</v>
      </c>
      <c r="D49" s="68" t="s">
        <v>204</v>
      </c>
    </row>
    <row r="50" spans="2:4" ht="18" x14ac:dyDescent="0.35">
      <c r="B50" s="68" t="s">
        <v>231</v>
      </c>
      <c r="C50" s="64">
        <v>0</v>
      </c>
      <c r="D50" s="68" t="s">
        <v>204</v>
      </c>
    </row>
  </sheetData>
  <sheetProtection password="EDBD" sheet="1" objects="1" scenarios="1" selectLockedCells="1"/>
  <phoneticPr fontId="40"/>
  <pageMargins left="0.7" right="0.7" top="0.75" bottom="0.75" header="0.3" footer="0.3"/>
  <pageSetup orientation="portrait" r:id="rId1"/>
  <drawing r:id="rId2"/>
  <legacyDrawing r:id="rId3"/>
  <oleObjects>
    <mc:AlternateContent xmlns:mc="http://schemas.openxmlformats.org/markup-compatibility/2006">
      <mc:Choice Requires="x14">
        <oleObject progId="Visio.Drawing.11" shapeId="1025" r:id="rId4">
          <objectPr defaultSize="0" autoPict="0" r:id="rId5">
            <anchor moveWithCells="1">
              <from>
                <xdr:col>0</xdr:col>
                <xdr:colOff>257175</xdr:colOff>
                <xdr:row>1</xdr:row>
                <xdr:rowOff>104775</xdr:rowOff>
              </from>
              <to>
                <xdr:col>13</xdr:col>
                <xdr:colOff>76200</xdr:colOff>
                <xdr:row>33</xdr:row>
                <xdr:rowOff>28575</xdr:rowOff>
              </to>
            </anchor>
          </objectPr>
        </oleObject>
      </mc:Choice>
      <mc:Fallback>
        <oleObject progId="Visio.Drawing.11"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3"/>
  <sheetViews>
    <sheetView tabSelected="1" topLeftCell="B156" zoomScaleNormal="100" workbookViewId="0">
      <selection activeCell="C163" sqref="C163"/>
    </sheetView>
  </sheetViews>
  <sheetFormatPr defaultColWidth="9.125" defaultRowHeight="13.5" x14ac:dyDescent="0.15"/>
  <cols>
    <col min="1" max="1" width="84.5" style="11" customWidth="1"/>
    <col min="2" max="2" width="18.5" style="11" customWidth="1"/>
    <col min="3" max="3" width="12.25" style="11" customWidth="1"/>
    <col min="4" max="4" width="7.5" style="11" customWidth="1"/>
    <col min="5" max="5" width="117.875" style="11" customWidth="1"/>
    <col min="6" max="6" width="12" style="11" bestFit="1" customWidth="1"/>
    <col min="7" max="16384" width="9.125" style="11"/>
  </cols>
  <sheetData>
    <row r="1" spans="1:4" ht="28.5" thickBot="1" x14ac:dyDescent="0.2">
      <c r="A1" s="209" t="s">
        <v>409</v>
      </c>
      <c r="B1" s="210"/>
      <c r="C1" s="210"/>
      <c r="D1" s="211"/>
    </row>
    <row r="2" spans="1:4" ht="14.25" thickBot="1" x14ac:dyDescent="0.2">
      <c r="A2" s="112" t="s">
        <v>382</v>
      </c>
      <c r="B2" s="212" t="s">
        <v>412</v>
      </c>
      <c r="C2" s="212"/>
      <c r="D2" s="213"/>
    </row>
    <row r="3" spans="1:4" ht="16.5" thickBot="1" x14ac:dyDescent="0.2">
      <c r="A3" s="214" t="s">
        <v>411</v>
      </c>
      <c r="B3" s="215"/>
      <c r="C3" s="215"/>
      <c r="D3" s="216"/>
    </row>
    <row r="4" spans="1:4" ht="15.75" x14ac:dyDescent="0.15">
      <c r="A4" s="1" t="s">
        <v>0</v>
      </c>
      <c r="B4" s="2" t="s">
        <v>1</v>
      </c>
      <c r="C4" s="217" t="s">
        <v>2</v>
      </c>
      <c r="D4" s="218"/>
    </row>
    <row r="5" spans="1:4" ht="15.75" x14ac:dyDescent="0.15">
      <c r="A5" s="219" t="s">
        <v>127</v>
      </c>
      <c r="B5" s="220"/>
      <c r="C5" s="220"/>
      <c r="D5" s="221"/>
    </row>
    <row r="6" spans="1:4" ht="18.75" x14ac:dyDescent="0.15">
      <c r="A6" s="181" t="s">
        <v>3</v>
      </c>
      <c r="B6" s="182"/>
      <c r="C6" s="182"/>
      <c r="D6" s="183"/>
    </row>
    <row r="7" spans="1:4" x14ac:dyDescent="0.15">
      <c r="A7" s="188" t="s">
        <v>410</v>
      </c>
      <c r="B7" s="189"/>
      <c r="C7" s="189"/>
      <c r="D7" s="190"/>
    </row>
    <row r="8" spans="1:4" x14ac:dyDescent="0.15">
      <c r="A8" s="188"/>
      <c r="B8" s="189"/>
      <c r="C8" s="189"/>
      <c r="D8" s="190"/>
    </row>
    <row r="9" spans="1:4" x14ac:dyDescent="0.15">
      <c r="A9" s="188"/>
      <c r="B9" s="189"/>
      <c r="C9" s="189"/>
      <c r="D9" s="190"/>
    </row>
    <row r="10" spans="1:4" x14ac:dyDescent="0.15">
      <c r="A10" s="188"/>
      <c r="B10" s="189"/>
      <c r="C10" s="189"/>
      <c r="D10" s="190"/>
    </row>
    <row r="11" spans="1:4" ht="14.25" thickBot="1" x14ac:dyDescent="0.2">
      <c r="A11" s="188"/>
      <c r="B11" s="189"/>
      <c r="C11" s="189"/>
      <c r="D11" s="190"/>
    </row>
    <row r="12" spans="1:4" x14ac:dyDescent="0.15">
      <c r="A12" s="191" t="s">
        <v>4</v>
      </c>
      <c r="B12" s="192"/>
      <c r="C12" s="192"/>
      <c r="D12" s="193"/>
    </row>
    <row r="13" spans="1:4" x14ac:dyDescent="0.15">
      <c r="A13" s="194"/>
      <c r="B13" s="195"/>
      <c r="C13" s="195"/>
      <c r="D13" s="196"/>
    </row>
    <row r="14" spans="1:4" x14ac:dyDescent="0.15">
      <c r="A14" s="194"/>
      <c r="B14" s="195"/>
      <c r="C14" s="195"/>
      <c r="D14" s="196"/>
    </row>
    <row r="15" spans="1:4" x14ac:dyDescent="0.15">
      <c r="A15" s="194"/>
      <c r="B15" s="195"/>
      <c r="C15" s="195"/>
      <c r="D15" s="196"/>
    </row>
    <row r="16" spans="1:4" ht="14.25" thickBot="1" x14ac:dyDescent="0.2">
      <c r="A16" s="197"/>
      <c r="B16" s="198"/>
      <c r="C16" s="198"/>
      <c r="D16" s="199"/>
    </row>
    <row r="17" spans="1:5" x14ac:dyDescent="0.15">
      <c r="A17" s="206" t="s">
        <v>6</v>
      </c>
      <c r="B17" s="207"/>
      <c r="C17" s="207"/>
      <c r="D17" s="208"/>
    </row>
    <row r="18" spans="1:5" x14ac:dyDescent="0.15">
      <c r="A18" s="200" t="s">
        <v>5</v>
      </c>
      <c r="B18" s="201"/>
      <c r="C18" s="201"/>
      <c r="D18" s="202"/>
    </row>
    <row r="19" spans="1:5" x14ac:dyDescent="0.15">
      <c r="A19" s="200"/>
      <c r="B19" s="201"/>
      <c r="C19" s="201"/>
      <c r="D19" s="202"/>
    </row>
    <row r="20" spans="1:5" ht="14.25" thickBot="1" x14ac:dyDescent="0.2">
      <c r="A20" s="203"/>
      <c r="B20" s="204"/>
      <c r="C20" s="204"/>
      <c r="D20" s="205"/>
    </row>
    <row r="21" spans="1:5" x14ac:dyDescent="0.15">
      <c r="A21" s="3"/>
      <c r="B21" s="3"/>
      <c r="C21" s="3"/>
      <c r="D21" s="3"/>
    </row>
    <row r="22" spans="1:5" ht="15.75" x14ac:dyDescent="0.15">
      <c r="A22" s="134" t="s">
        <v>393</v>
      </c>
      <c r="B22" s="135"/>
      <c r="C22" s="143" t="s">
        <v>406</v>
      </c>
      <c r="D22" s="135"/>
      <c r="E22" s="12" t="s">
        <v>408</v>
      </c>
    </row>
    <row r="23" spans="1:5" s="31" customFormat="1" ht="14.25" thickBot="1" x14ac:dyDescent="0.2">
      <c r="A23" s="184"/>
      <c r="B23" s="184"/>
      <c r="C23" s="184"/>
      <c r="D23" s="184"/>
    </row>
    <row r="24" spans="1:5" s="31" customFormat="1" ht="15.75" x14ac:dyDescent="0.15">
      <c r="A24" s="185" t="s">
        <v>253</v>
      </c>
      <c r="B24" s="186"/>
      <c r="C24" s="186"/>
      <c r="D24" s="187"/>
    </row>
    <row r="25" spans="1:5" ht="16.5" x14ac:dyDescent="0.15">
      <c r="A25" s="25" t="s">
        <v>249</v>
      </c>
      <c r="B25" s="32" t="s">
        <v>15</v>
      </c>
      <c r="C25" s="35">
        <v>48</v>
      </c>
      <c r="D25" s="30" t="s">
        <v>7</v>
      </c>
      <c r="E25" s="12" t="s">
        <v>112</v>
      </c>
    </row>
    <row r="26" spans="1:5" ht="16.5" x14ac:dyDescent="0.15">
      <c r="A26" s="25" t="s">
        <v>250</v>
      </c>
      <c r="B26" s="32" t="s">
        <v>19</v>
      </c>
      <c r="C26" s="35">
        <v>600</v>
      </c>
      <c r="D26" s="30" t="s">
        <v>8</v>
      </c>
      <c r="E26" s="12" t="s">
        <v>113</v>
      </c>
    </row>
    <row r="27" spans="1:5" ht="16.5" x14ac:dyDescent="0.15">
      <c r="A27" s="25" t="s">
        <v>251</v>
      </c>
      <c r="B27" s="32" t="s">
        <v>16</v>
      </c>
      <c r="C27" s="32">
        <f>Pout/Vout</f>
        <v>12.5</v>
      </c>
      <c r="D27" s="30" t="s">
        <v>10</v>
      </c>
      <c r="E27" s="12"/>
    </row>
    <row r="28" spans="1:5" ht="16.5" x14ac:dyDescent="0.15">
      <c r="A28" s="25" t="s">
        <v>252</v>
      </c>
      <c r="B28" s="32" t="s">
        <v>17</v>
      </c>
      <c r="C28" s="35">
        <v>1000</v>
      </c>
      <c r="D28" s="30" t="s">
        <v>18</v>
      </c>
      <c r="E28" s="12" t="s">
        <v>114</v>
      </c>
    </row>
    <row r="29" spans="1:5" ht="14.25" thickBot="1" x14ac:dyDescent="0.2">
      <c r="A29" s="33" t="s">
        <v>394</v>
      </c>
      <c r="B29" s="36" t="s">
        <v>9</v>
      </c>
      <c r="C29" s="127">
        <v>0.93</v>
      </c>
      <c r="D29" s="34"/>
      <c r="E29" s="12" t="s">
        <v>130</v>
      </c>
    </row>
    <row r="30" spans="1:5" ht="14.25" thickBot="1" x14ac:dyDescent="0.2">
      <c r="A30" s="146"/>
      <c r="B30" s="147"/>
      <c r="C30" s="147"/>
      <c r="D30" s="147"/>
      <c r="E30" s="109"/>
    </row>
    <row r="31" spans="1:5" ht="15.75" customHeight="1" x14ac:dyDescent="0.15">
      <c r="A31" s="163" t="s">
        <v>254</v>
      </c>
      <c r="B31" s="164"/>
      <c r="C31" s="164"/>
      <c r="D31" s="165"/>
      <c r="E31" s="12"/>
    </row>
    <row r="32" spans="1:5" ht="16.5" x14ac:dyDescent="0.15">
      <c r="A32" s="37" t="s">
        <v>255</v>
      </c>
      <c r="B32" s="5" t="s">
        <v>131</v>
      </c>
      <c r="C32" s="115">
        <v>290</v>
      </c>
      <c r="D32" s="39" t="s">
        <v>7</v>
      </c>
      <c r="E32" s="12" t="s">
        <v>202</v>
      </c>
    </row>
    <row r="33" spans="1:5" ht="16.5" x14ac:dyDescent="0.15">
      <c r="A33" s="25" t="s">
        <v>256</v>
      </c>
      <c r="B33" s="32" t="s">
        <v>125</v>
      </c>
      <c r="C33" s="35">
        <v>10</v>
      </c>
      <c r="D33" s="30" t="s">
        <v>12</v>
      </c>
      <c r="E33" s="12" t="s">
        <v>201</v>
      </c>
    </row>
    <row r="34" spans="1:5" ht="16.5" x14ac:dyDescent="0.15">
      <c r="A34" s="25" t="s">
        <v>257</v>
      </c>
      <c r="B34" s="32" t="s">
        <v>13</v>
      </c>
      <c r="C34" s="113">
        <v>300</v>
      </c>
      <c r="D34" s="30" t="s">
        <v>7</v>
      </c>
      <c r="E34" s="12" t="s">
        <v>230</v>
      </c>
    </row>
    <row r="35" spans="1:5" ht="16.5" x14ac:dyDescent="0.15">
      <c r="A35" s="25" t="s">
        <v>258</v>
      </c>
      <c r="B35" s="32" t="s">
        <v>14</v>
      </c>
      <c r="C35" s="113">
        <v>280</v>
      </c>
      <c r="D35" s="30" t="s">
        <v>7</v>
      </c>
      <c r="E35" s="12" t="s">
        <v>233</v>
      </c>
    </row>
    <row r="36" spans="1:5" ht="14.25" thickBot="1" x14ac:dyDescent="0.2">
      <c r="A36" s="40"/>
      <c r="B36" s="40"/>
      <c r="C36" s="40"/>
      <c r="D36" s="40"/>
      <c r="E36" s="12"/>
    </row>
    <row r="37" spans="1:5" ht="16.5" thickBot="1" x14ac:dyDescent="0.2">
      <c r="A37" s="175" t="s">
        <v>259</v>
      </c>
      <c r="B37" s="176"/>
      <c r="C37" s="176"/>
      <c r="D37" s="177"/>
      <c r="E37" s="12"/>
    </row>
    <row r="38" spans="1:5" ht="18" customHeight="1" thickBot="1" x14ac:dyDescent="0.2">
      <c r="A38" s="41" t="s">
        <v>260</v>
      </c>
      <c r="B38" s="42" t="s">
        <v>20</v>
      </c>
      <c r="C38" s="43">
        <v>200</v>
      </c>
      <c r="D38" s="44" t="s">
        <v>11</v>
      </c>
      <c r="E38" s="12" t="s">
        <v>203</v>
      </c>
    </row>
    <row r="39" spans="1:5" s="31" customFormat="1" x14ac:dyDescent="0.15">
      <c r="A39" s="151" t="s">
        <v>94</v>
      </c>
      <c r="B39" s="152"/>
      <c r="C39" s="152"/>
      <c r="D39" s="153"/>
    </row>
    <row r="40" spans="1:5" s="31" customFormat="1" ht="16.5" x14ac:dyDescent="0.15">
      <c r="A40" s="131" t="s">
        <v>383</v>
      </c>
      <c r="B40" s="32" t="s">
        <v>384</v>
      </c>
      <c r="C40" s="133">
        <f>Vblk/2/Vout</f>
        <v>3.0208333333333335</v>
      </c>
      <c r="D40" s="132"/>
      <c r="E40" s="12"/>
    </row>
    <row r="41" spans="1:5" ht="18" customHeight="1" x14ac:dyDescent="0.15">
      <c r="A41" s="25" t="s">
        <v>385</v>
      </c>
      <c r="B41" s="32" t="s">
        <v>21</v>
      </c>
      <c r="C41" s="144">
        <v>3</v>
      </c>
      <c r="D41" s="46"/>
      <c r="E41" s="12" t="s">
        <v>386</v>
      </c>
    </row>
    <row r="42" spans="1:5" ht="18" customHeight="1" x14ac:dyDescent="0.15">
      <c r="A42" s="131" t="s">
        <v>387</v>
      </c>
      <c r="B42" s="32" t="s">
        <v>391</v>
      </c>
      <c r="C42" s="116">
        <f>Vblk/2/15</f>
        <v>9.6666666666666661</v>
      </c>
      <c r="D42" s="46"/>
      <c r="E42" s="12"/>
    </row>
    <row r="43" spans="1:5" ht="18" customHeight="1" x14ac:dyDescent="0.15">
      <c r="A43" s="25" t="s">
        <v>388</v>
      </c>
      <c r="B43" s="32" t="s">
        <v>390</v>
      </c>
      <c r="C43" s="144">
        <v>9</v>
      </c>
      <c r="D43" s="46"/>
      <c r="E43" s="12" t="s">
        <v>389</v>
      </c>
    </row>
    <row r="44" spans="1:5" ht="18" customHeight="1" x14ac:dyDescent="0.15">
      <c r="A44" s="25" t="s">
        <v>261</v>
      </c>
      <c r="B44" s="32" t="s">
        <v>22</v>
      </c>
      <c r="C44" s="104">
        <f>(8*Nps^2*Vout)/(PI()^2*Iout*1.1)</f>
        <v>25.46661895766686</v>
      </c>
      <c r="D44" s="13" t="s">
        <v>23</v>
      </c>
    </row>
    <row r="45" spans="1:5" ht="17.25" thickBot="1" x14ac:dyDescent="0.2">
      <c r="A45" s="33" t="s">
        <v>262</v>
      </c>
      <c r="B45" s="48" t="s">
        <v>82</v>
      </c>
      <c r="C45" s="130">
        <f>(8*Nps^2*Vout)/(PI()^2*Iout)</f>
        <v>28.01328085343355</v>
      </c>
      <c r="D45" s="14" t="s">
        <v>23</v>
      </c>
    </row>
    <row r="46" spans="1:5" ht="14.25" thickBot="1" x14ac:dyDescent="0.2">
      <c r="A46" s="166" t="s">
        <v>263</v>
      </c>
      <c r="B46" s="167"/>
      <c r="C46" s="167"/>
      <c r="D46" s="168"/>
    </row>
    <row r="47" spans="1:5" ht="16.5" x14ac:dyDescent="0.15">
      <c r="A47" s="37" t="s">
        <v>264</v>
      </c>
      <c r="B47" s="38" t="s">
        <v>24</v>
      </c>
      <c r="C47" s="50">
        <f>Nps*(Vout+0.5)/(Vblk_max/2)</f>
        <v>0.97</v>
      </c>
      <c r="D47" s="39"/>
    </row>
    <row r="48" spans="1:5" ht="18" customHeight="1" x14ac:dyDescent="0.15">
      <c r="A48" s="25" t="s">
        <v>265</v>
      </c>
      <c r="B48" s="32" t="s">
        <v>132</v>
      </c>
      <c r="C48" s="45">
        <f>1*Nps*(Vout+0.5+Vloss)/(Vblk_hu/2)</f>
        <v>1.05</v>
      </c>
      <c r="D48" s="30"/>
    </row>
    <row r="49" spans="1:5" ht="17.25" thickBot="1" x14ac:dyDescent="0.2">
      <c r="A49" s="51" t="s">
        <v>266</v>
      </c>
      <c r="B49" s="52" t="s">
        <v>25</v>
      </c>
      <c r="C49" s="117">
        <v>0.5</v>
      </c>
      <c r="D49" s="53" t="s">
        <v>7</v>
      </c>
      <c r="E49" s="12" t="s">
        <v>234</v>
      </c>
    </row>
    <row r="50" spans="1:5" ht="17.25" thickBot="1" x14ac:dyDescent="0.2">
      <c r="A50" s="169" t="s">
        <v>34</v>
      </c>
      <c r="B50" s="170"/>
      <c r="C50" s="170"/>
      <c r="D50" s="171"/>
    </row>
    <row r="51" spans="1:5" ht="49.5" customHeight="1" thickBot="1" x14ac:dyDescent="0.2">
      <c r="A51" s="154" t="s">
        <v>133</v>
      </c>
      <c r="B51" s="155"/>
      <c r="C51" s="155"/>
      <c r="D51" s="156"/>
    </row>
    <row r="52" spans="1:5" ht="15.75" customHeight="1" x14ac:dyDescent="0.15">
      <c r="A52" s="157" t="s">
        <v>134</v>
      </c>
      <c r="B52" s="158"/>
      <c r="C52" s="158"/>
      <c r="D52" s="159"/>
    </row>
    <row r="53" spans="1:5" ht="15" customHeight="1" x14ac:dyDescent="0.15">
      <c r="A53" s="172"/>
      <c r="B53" s="173"/>
      <c r="C53" s="173"/>
      <c r="D53" s="174"/>
    </row>
    <row r="54" spans="1:5" ht="15" customHeight="1" x14ac:dyDescent="0.15">
      <c r="A54" s="172"/>
      <c r="B54" s="173"/>
      <c r="C54" s="173"/>
      <c r="D54" s="174"/>
    </row>
    <row r="55" spans="1:5" ht="15" customHeight="1" x14ac:dyDescent="0.15">
      <c r="A55" s="172"/>
      <c r="B55" s="173"/>
      <c r="C55" s="173"/>
      <c r="D55" s="174"/>
    </row>
    <row r="56" spans="1:5" ht="15" customHeight="1" x14ac:dyDescent="0.15">
      <c r="A56" s="25" t="s">
        <v>267</v>
      </c>
      <c r="B56" s="32" t="s">
        <v>80</v>
      </c>
      <c r="C56" s="54">
        <v>4.8150000000000004</v>
      </c>
      <c r="D56" s="30"/>
    </row>
    <row r="57" spans="1:5" ht="16.5" x14ac:dyDescent="0.15">
      <c r="A57" s="25" t="s">
        <v>268</v>
      </c>
      <c r="B57" s="32" t="s">
        <v>81</v>
      </c>
      <c r="C57" s="54">
        <v>0.1215</v>
      </c>
      <c r="D57" s="30"/>
    </row>
    <row r="58" spans="1:5" ht="17.25" thickBot="1" x14ac:dyDescent="0.2">
      <c r="A58" s="25" t="s">
        <v>269</v>
      </c>
      <c r="B58" s="32" t="s">
        <v>36</v>
      </c>
      <c r="C58" s="55">
        <f>Ln_selected/(Ln_selected+1)</f>
        <v>0.82803095442820296</v>
      </c>
      <c r="D58" s="30"/>
    </row>
    <row r="59" spans="1:5" ht="17.25" thickBot="1" x14ac:dyDescent="0.2">
      <c r="A59" s="51" t="s">
        <v>270</v>
      </c>
      <c r="B59" s="52" t="s">
        <v>47</v>
      </c>
      <c r="C59" s="56">
        <f>350/fllc</f>
        <v>1.75</v>
      </c>
      <c r="D59" s="53"/>
    </row>
    <row r="60" spans="1:5" ht="16.5" customHeight="1" x14ac:dyDescent="0.15">
      <c r="A60" s="157" t="s">
        <v>135</v>
      </c>
      <c r="B60" s="158"/>
      <c r="C60" s="158"/>
      <c r="D60" s="159"/>
    </row>
    <row r="61" spans="1:5" ht="37.5" customHeight="1" thickBot="1" x14ac:dyDescent="0.2">
      <c r="A61" s="160"/>
      <c r="B61" s="161"/>
      <c r="C61" s="161"/>
      <c r="D61" s="162"/>
    </row>
    <row r="62" spans="1:5" x14ac:dyDescent="0.15">
      <c r="A62" s="27"/>
      <c r="B62" s="26"/>
      <c r="C62" s="28"/>
      <c r="D62" s="29"/>
    </row>
    <row r="63" spans="1:5" x14ac:dyDescent="0.15">
      <c r="A63" s="27"/>
      <c r="B63" s="26"/>
      <c r="C63" s="28"/>
      <c r="D63" s="29"/>
    </row>
    <row r="64" spans="1:5" x14ac:dyDescent="0.15">
      <c r="A64" s="27"/>
      <c r="B64" s="26"/>
      <c r="C64" s="28"/>
      <c r="D64" s="29"/>
    </row>
    <row r="65" spans="1:4" x14ac:dyDescent="0.15">
      <c r="A65" s="27"/>
      <c r="B65" s="26"/>
      <c r="C65" s="28"/>
      <c r="D65" s="29"/>
    </row>
    <row r="66" spans="1:4" x14ac:dyDescent="0.15">
      <c r="A66" s="27"/>
      <c r="B66" s="26"/>
      <c r="C66" s="28"/>
      <c r="D66" s="29"/>
    </row>
    <row r="67" spans="1:4" x14ac:dyDescent="0.15">
      <c r="A67" s="27"/>
      <c r="B67" s="26"/>
      <c r="C67" s="28"/>
      <c r="D67" s="29"/>
    </row>
    <row r="68" spans="1:4" x14ac:dyDescent="0.15">
      <c r="A68" s="27"/>
      <c r="B68" s="26"/>
      <c r="C68" s="28"/>
      <c r="D68" s="29"/>
    </row>
    <row r="69" spans="1:4" x14ac:dyDescent="0.15">
      <c r="A69" s="27"/>
      <c r="B69" s="26"/>
      <c r="C69" s="28"/>
      <c r="D69" s="29"/>
    </row>
    <row r="70" spans="1:4" x14ac:dyDescent="0.15">
      <c r="A70" s="27"/>
      <c r="B70" s="26"/>
      <c r="C70" s="28"/>
      <c r="D70" s="29"/>
    </row>
    <row r="71" spans="1:4" x14ac:dyDescent="0.15">
      <c r="A71" s="27"/>
      <c r="B71" s="26"/>
      <c r="C71" s="26"/>
      <c r="D71" s="29"/>
    </row>
    <row r="72" spans="1:4" x14ac:dyDescent="0.15">
      <c r="A72" s="27"/>
      <c r="B72" s="26"/>
      <c r="C72" s="26"/>
      <c r="D72" s="29"/>
    </row>
    <row r="73" spans="1:4" x14ac:dyDescent="0.15">
      <c r="A73" s="27"/>
      <c r="B73" s="26"/>
      <c r="C73" s="26"/>
      <c r="D73" s="29"/>
    </row>
    <row r="74" spans="1:4" x14ac:dyDescent="0.15">
      <c r="A74" s="27"/>
      <c r="B74" s="26"/>
      <c r="C74" s="26"/>
      <c r="D74" s="29"/>
    </row>
    <row r="75" spans="1:4" x14ac:dyDescent="0.15">
      <c r="A75" s="27"/>
      <c r="B75" s="26"/>
      <c r="C75" s="26"/>
      <c r="D75" s="29"/>
    </row>
    <row r="76" spans="1:4" x14ac:dyDescent="0.15">
      <c r="A76" s="27"/>
      <c r="B76" s="26"/>
      <c r="C76" s="26"/>
      <c r="D76" s="29"/>
    </row>
    <row r="77" spans="1:4" x14ac:dyDescent="0.15">
      <c r="A77" s="27"/>
      <c r="B77" s="26"/>
      <c r="C77" s="26"/>
      <c r="D77" s="29"/>
    </row>
    <row r="78" spans="1:4" x14ac:dyDescent="0.15">
      <c r="A78" s="27"/>
      <c r="B78" s="26"/>
      <c r="C78" s="26"/>
      <c r="D78" s="29"/>
    </row>
    <row r="79" spans="1:4" x14ac:dyDescent="0.15">
      <c r="A79" s="27"/>
      <c r="B79" s="26"/>
      <c r="C79" s="26"/>
      <c r="D79" s="29"/>
    </row>
    <row r="80" spans="1:4" x14ac:dyDescent="0.15">
      <c r="A80" s="27"/>
      <c r="B80" s="26"/>
      <c r="C80" s="26"/>
      <c r="D80" s="29"/>
    </row>
    <row r="81" spans="1:5" x14ac:dyDescent="0.15">
      <c r="A81" s="27"/>
      <c r="B81" s="26"/>
      <c r="C81" s="26"/>
      <c r="D81" s="29"/>
    </row>
    <row r="82" spans="1:5" x14ac:dyDescent="0.15">
      <c r="A82" s="27"/>
      <c r="B82" s="26"/>
      <c r="C82" s="26"/>
      <c r="D82" s="29"/>
    </row>
    <row r="83" spans="1:5" x14ac:dyDescent="0.15">
      <c r="A83" s="27"/>
      <c r="B83" s="26"/>
      <c r="C83" s="26"/>
      <c r="D83" s="29"/>
    </row>
    <row r="84" spans="1:5" x14ac:dyDescent="0.15">
      <c r="A84" s="27"/>
      <c r="B84" s="26"/>
      <c r="C84" s="26"/>
      <c r="D84" s="29"/>
    </row>
    <row r="85" spans="1:5" x14ac:dyDescent="0.15">
      <c r="A85" s="27"/>
      <c r="B85" s="26"/>
      <c r="C85" s="26"/>
      <c r="D85" s="29"/>
    </row>
    <row r="86" spans="1:5" x14ac:dyDescent="0.15">
      <c r="A86" s="27"/>
      <c r="B86" s="26"/>
      <c r="C86" s="26"/>
      <c r="D86" s="29"/>
    </row>
    <row r="87" spans="1:5" x14ac:dyDescent="0.15">
      <c r="A87" s="27"/>
      <c r="B87" s="26"/>
      <c r="C87" s="26"/>
      <c r="D87" s="29"/>
    </row>
    <row r="88" spans="1:5" x14ac:dyDescent="0.15">
      <c r="A88" s="27"/>
      <c r="B88" s="26"/>
      <c r="C88" s="26"/>
      <c r="D88" s="29"/>
    </row>
    <row r="89" spans="1:5" ht="14.25" thickBot="1" x14ac:dyDescent="0.2">
      <c r="A89" s="27"/>
      <c r="B89" s="26"/>
      <c r="C89" s="26"/>
      <c r="D89" s="29"/>
    </row>
    <row r="90" spans="1:5" x14ac:dyDescent="0.15">
      <c r="A90" s="151" t="s">
        <v>48</v>
      </c>
      <c r="B90" s="152"/>
      <c r="C90" s="152"/>
      <c r="D90" s="153"/>
    </row>
    <row r="91" spans="1:5" ht="16.5" x14ac:dyDescent="0.15">
      <c r="A91" s="25" t="s">
        <v>271</v>
      </c>
      <c r="B91" s="32" t="s">
        <v>76</v>
      </c>
      <c r="C91" s="61">
        <f>(1/(2*PI()*fllc*1000*Re_fl*Qe_selected))/10^-6</f>
        <v>0.23380289405359564</v>
      </c>
      <c r="D91" s="30" t="s">
        <v>229</v>
      </c>
    </row>
    <row r="92" spans="1:5" ht="16.5" x14ac:dyDescent="0.15">
      <c r="A92" s="25" t="s">
        <v>272</v>
      </c>
      <c r="B92" s="32" t="s">
        <v>73</v>
      </c>
      <c r="C92" s="35">
        <v>0.23400000000000001</v>
      </c>
      <c r="D92" s="30" t="s">
        <v>229</v>
      </c>
      <c r="E92" s="12" t="s">
        <v>395</v>
      </c>
    </row>
    <row r="93" spans="1:5" ht="16.5" x14ac:dyDescent="0.15">
      <c r="A93" s="25" t="s">
        <v>273</v>
      </c>
      <c r="B93" s="32" t="s">
        <v>77</v>
      </c>
      <c r="C93" s="61">
        <f>IF(D92="uF",1/((2*PI()*fllc*kHz)^2*Cr*uF),1/((2*PI()*fllc*kHz)^2*Cr*picoF))*10^6</f>
        <v>2.7062281955752607</v>
      </c>
      <c r="D93" s="30" t="s">
        <v>74</v>
      </c>
      <c r="E93" s="12"/>
    </row>
    <row r="94" spans="1:5" ht="16.5" x14ac:dyDescent="0.15">
      <c r="A94" s="25" t="s">
        <v>274</v>
      </c>
      <c r="B94" s="32" t="s">
        <v>75</v>
      </c>
      <c r="C94" s="35">
        <v>2.7</v>
      </c>
      <c r="D94" s="30" t="s">
        <v>74</v>
      </c>
      <c r="E94" s="12" t="s">
        <v>115</v>
      </c>
    </row>
    <row r="95" spans="1:5" ht="16.5" x14ac:dyDescent="0.15">
      <c r="A95" s="25" t="s">
        <v>275</v>
      </c>
      <c r="B95" s="32" t="s">
        <v>78</v>
      </c>
      <c r="C95" s="62">
        <f>Ln_selected*Lr</f>
        <v>13.000500000000002</v>
      </c>
      <c r="D95" s="30" t="s">
        <v>74</v>
      </c>
      <c r="E95" s="12"/>
    </row>
    <row r="96" spans="1:5" ht="16.5" x14ac:dyDescent="0.15">
      <c r="A96" s="25" t="s">
        <v>276</v>
      </c>
      <c r="B96" s="32" t="s">
        <v>79</v>
      </c>
      <c r="C96" s="35">
        <v>13</v>
      </c>
      <c r="D96" s="30" t="s">
        <v>74</v>
      </c>
      <c r="E96" s="12" t="s">
        <v>235</v>
      </c>
    </row>
    <row r="97" spans="1:8" ht="16.5" x14ac:dyDescent="0.15">
      <c r="A97" s="25" t="s">
        <v>277</v>
      </c>
      <c r="B97" s="32" t="s">
        <v>26</v>
      </c>
      <c r="C97" s="105">
        <f>IF(D91="uF",1/(2*PI()*SQRT(Lr*uH*Cr*uF)),1/(2*PI()*SQRT(Lr*uH*Cr*picoF)))/kHz</f>
        <v>200.2305410372702</v>
      </c>
      <c r="D97" s="30" t="s">
        <v>11</v>
      </c>
      <c r="E97" s="31"/>
    </row>
    <row r="98" spans="1:8" ht="16.5" x14ac:dyDescent="0.15">
      <c r="A98" s="25" t="s">
        <v>278</v>
      </c>
      <c r="B98" s="32" t="s">
        <v>27</v>
      </c>
      <c r="C98" s="105">
        <f>(1/(2*PI()*SQRT(((Lr*uH)+(Lm*uH))*(Cr*uF))))/kHz</f>
        <v>83.035226897529668</v>
      </c>
      <c r="D98" s="30" t="s">
        <v>11</v>
      </c>
      <c r="E98" s="31"/>
    </row>
    <row r="99" spans="1:8" ht="18" customHeight="1" x14ac:dyDescent="0.15">
      <c r="A99" s="25" t="s">
        <v>279</v>
      </c>
      <c r="B99" s="32" t="s">
        <v>33</v>
      </c>
      <c r="C99" s="128">
        <f>Lm/Lr</f>
        <v>4.8148148148148149</v>
      </c>
      <c r="D99" s="30"/>
      <c r="E99" s="60" t="s">
        <v>237</v>
      </c>
      <c r="F99" s="15"/>
      <c r="G99" s="15"/>
      <c r="H99" s="15"/>
    </row>
    <row r="100" spans="1:8" ht="16.5" x14ac:dyDescent="0.15">
      <c r="A100" s="25" t="s">
        <v>280</v>
      </c>
      <c r="B100" s="32" t="s">
        <v>35</v>
      </c>
      <c r="C100" s="129">
        <f>IF(D91="uF",SQRT((Lr*uH)/(Cr*uF))/(Re_fl),SQRT((Lr*uH)/(Cr*picoF))/Re_fl)</f>
        <v>0.12125788193843216</v>
      </c>
      <c r="D100" s="46"/>
      <c r="E100" s="12" t="s">
        <v>236</v>
      </c>
      <c r="F100" s="15"/>
      <c r="G100" s="15"/>
      <c r="H100" s="15"/>
    </row>
    <row r="101" spans="1:8" ht="16.5" x14ac:dyDescent="0.15">
      <c r="A101" s="25" t="s">
        <v>281</v>
      </c>
      <c r="B101" s="32" t="s">
        <v>85</v>
      </c>
      <c r="C101" s="35">
        <v>0.9</v>
      </c>
      <c r="D101" s="30"/>
      <c r="E101" s="12" t="s">
        <v>238</v>
      </c>
    </row>
    <row r="102" spans="1:8" ht="16.5" x14ac:dyDescent="0.15">
      <c r="A102" s="25" t="s">
        <v>282</v>
      </c>
      <c r="B102" s="32" t="s">
        <v>86</v>
      </c>
      <c r="C102" s="35">
        <v>1.1000000000000001</v>
      </c>
      <c r="D102" s="30"/>
      <c r="E102" s="12" t="s">
        <v>239</v>
      </c>
    </row>
    <row r="103" spans="1:8" ht="16.5" x14ac:dyDescent="0.15">
      <c r="A103" s="25" t="s">
        <v>283</v>
      </c>
      <c r="B103" s="32" t="s">
        <v>87</v>
      </c>
      <c r="C103" s="104">
        <f>fn_Mgmin*f0</f>
        <v>220.25359514099725</v>
      </c>
      <c r="D103" s="30" t="s">
        <v>11</v>
      </c>
      <c r="E103" s="31"/>
    </row>
    <row r="104" spans="1:8" ht="16.5" x14ac:dyDescent="0.15">
      <c r="A104" s="25" t="s">
        <v>284</v>
      </c>
      <c r="B104" s="32" t="s">
        <v>88</v>
      </c>
      <c r="C104" s="104">
        <f>fn_Mgmax*f0</f>
        <v>180.20748693354318</v>
      </c>
      <c r="D104" s="30" t="s">
        <v>11</v>
      </c>
    </row>
    <row r="105" spans="1:8" s="31" customFormat="1" x14ac:dyDescent="0.15">
      <c r="A105" s="178" t="s">
        <v>84</v>
      </c>
      <c r="B105" s="179"/>
      <c r="C105" s="179"/>
      <c r="D105" s="180"/>
    </row>
    <row r="106" spans="1:8" s="31" customFormat="1" ht="16.5" x14ac:dyDescent="0.15">
      <c r="A106" s="25" t="s">
        <v>285</v>
      </c>
      <c r="B106" s="32" t="s">
        <v>83</v>
      </c>
      <c r="C106" s="47">
        <f>PI()*Iout*1.1/(2*SQRT(2)*Nps)</f>
        <v>5.0908033666397943</v>
      </c>
      <c r="D106" s="30" t="s">
        <v>10</v>
      </c>
    </row>
    <row r="107" spans="1:8" s="31" customFormat="1" ht="16.5" x14ac:dyDescent="0.15">
      <c r="A107" s="25" t="s">
        <v>286</v>
      </c>
      <c r="B107" s="32" t="s">
        <v>89</v>
      </c>
      <c r="C107" s="47">
        <f>(2*SQRT(2)*Nps*Vout)/(PI()*2*PI()*fsw_min*kHz*Lm*uH)</f>
        <v>8.8076806984830807</v>
      </c>
      <c r="D107" s="30" t="s">
        <v>10</v>
      </c>
    </row>
    <row r="108" spans="1:8" s="31" customFormat="1" ht="16.5" x14ac:dyDescent="0.15">
      <c r="A108" s="25" t="s">
        <v>287</v>
      </c>
      <c r="B108" s="32" t="s">
        <v>90</v>
      </c>
      <c r="C108" s="47">
        <f>SQRT(Im^2 +Ioe^2)</f>
        <v>10.173078108626832</v>
      </c>
      <c r="D108" s="30" t="s">
        <v>10</v>
      </c>
    </row>
    <row r="109" spans="1:8" s="31" customFormat="1" x14ac:dyDescent="0.15">
      <c r="A109" s="178" t="s">
        <v>91</v>
      </c>
      <c r="B109" s="179"/>
      <c r="C109" s="179"/>
      <c r="D109" s="180"/>
    </row>
    <row r="110" spans="1:8" s="31" customFormat="1" ht="16.5" x14ac:dyDescent="0.15">
      <c r="A110" s="25" t="s">
        <v>288</v>
      </c>
      <c r="B110" s="32" t="s">
        <v>92</v>
      </c>
      <c r="C110" s="47">
        <f>Nps*Ioe</f>
        <v>15.272410099919384</v>
      </c>
      <c r="D110" s="30" t="s">
        <v>10</v>
      </c>
    </row>
    <row r="111" spans="1:8" s="31" customFormat="1" ht="17.25" thickBot="1" x14ac:dyDescent="0.2">
      <c r="A111" s="33" t="s">
        <v>289</v>
      </c>
      <c r="B111" s="48" t="s">
        <v>93</v>
      </c>
      <c r="C111" s="49">
        <f>SQRT(2)*C110/2</f>
        <v>10.799224746714915</v>
      </c>
      <c r="D111" s="34" t="s">
        <v>10</v>
      </c>
    </row>
    <row r="112" spans="1:8" s="31" customFormat="1" ht="14.25" thickBot="1" x14ac:dyDescent="0.2">
      <c r="A112" s="222"/>
      <c r="B112" s="223"/>
      <c r="C112" s="223"/>
      <c r="D112" s="224"/>
    </row>
    <row r="113" spans="1:5" s="31" customFormat="1" x14ac:dyDescent="0.15">
      <c r="A113" s="151" t="s">
        <v>95</v>
      </c>
      <c r="B113" s="152"/>
      <c r="C113" s="152"/>
      <c r="D113" s="153"/>
    </row>
    <row r="114" spans="1:5" s="31" customFormat="1" ht="16.5" x14ac:dyDescent="0.15">
      <c r="A114" s="25" t="s">
        <v>290</v>
      </c>
      <c r="B114" s="32" t="s">
        <v>136</v>
      </c>
      <c r="C114" s="99">
        <f>2*PI()*fsw_min*kHz*Lr*uH*Ir</f>
        <v>31.100605314184719</v>
      </c>
      <c r="D114" s="30" t="s">
        <v>7</v>
      </c>
    </row>
    <row r="115" spans="1:5" s="31" customFormat="1" ht="16.5" x14ac:dyDescent="0.15">
      <c r="A115" s="25" t="s">
        <v>291</v>
      </c>
      <c r="B115" s="32" t="s">
        <v>75</v>
      </c>
      <c r="C115" s="99">
        <f>Lr</f>
        <v>2.7</v>
      </c>
      <c r="D115" s="30" t="str">
        <f>D94</f>
        <v>uH</v>
      </c>
    </row>
    <row r="116" spans="1:5" s="31" customFormat="1" ht="17.25" thickBot="1" x14ac:dyDescent="0.2">
      <c r="A116" s="33" t="s">
        <v>292</v>
      </c>
      <c r="B116" s="48" t="s">
        <v>90</v>
      </c>
      <c r="C116" s="100">
        <f>Ir</f>
        <v>10.173078108626832</v>
      </c>
      <c r="D116" s="34" t="str">
        <f>D111</f>
        <v>A</v>
      </c>
    </row>
    <row r="117" spans="1:5" s="31" customFormat="1" ht="14.25" thickBot="1" x14ac:dyDescent="0.2">
      <c r="A117" s="57"/>
      <c r="B117" s="40"/>
      <c r="C117" s="40"/>
      <c r="D117" s="40"/>
      <c r="E117" s="40"/>
    </row>
    <row r="118" spans="1:5" s="59" customFormat="1" x14ac:dyDescent="0.15">
      <c r="A118" s="151" t="s">
        <v>96</v>
      </c>
      <c r="B118" s="152"/>
      <c r="C118" s="152"/>
      <c r="D118" s="153"/>
    </row>
    <row r="119" spans="1:5" s="31" customFormat="1" ht="16.5" x14ac:dyDescent="0.15">
      <c r="A119" s="25" t="s">
        <v>293</v>
      </c>
      <c r="B119" s="32" t="s">
        <v>137</v>
      </c>
      <c r="C119" s="103">
        <f>IF(D91="uF",Ir/(2*PI()*fsw_min*kHz*Cr*uF),Ir/(2*PI()*fsw_min*kHz*Cr*picoF))</f>
        <v>38.395809029857674</v>
      </c>
      <c r="D119" s="30" t="s">
        <v>7</v>
      </c>
    </row>
    <row r="120" spans="1:5" s="31" customFormat="1" ht="16.5" x14ac:dyDescent="0.15">
      <c r="A120" s="25" t="s">
        <v>294</v>
      </c>
      <c r="B120" s="32" t="s">
        <v>138</v>
      </c>
      <c r="C120" s="103">
        <f>SQRT((Vblk_max/2)^2+Vcr^2)</f>
        <v>154.83616551393055</v>
      </c>
      <c r="D120" s="30" t="s">
        <v>7</v>
      </c>
    </row>
    <row r="121" spans="1:5" s="31" customFormat="1" ht="16.5" x14ac:dyDescent="0.15">
      <c r="A121" s="25" t="s">
        <v>295</v>
      </c>
      <c r="B121" s="32" t="s">
        <v>139</v>
      </c>
      <c r="C121" s="103">
        <f>(Vblk_max/2)+(SQRT(2)*Vcr)</f>
        <v>204.29987386831209</v>
      </c>
      <c r="D121" s="30" t="s">
        <v>7</v>
      </c>
    </row>
    <row r="122" spans="1:5" s="31" customFormat="1" ht="18" x14ac:dyDescent="0.35">
      <c r="A122" s="68" t="s">
        <v>296</v>
      </c>
      <c r="B122" s="68" t="s">
        <v>181</v>
      </c>
      <c r="C122" s="101">
        <f>Vblk_max/2-(Vcr*SQRT(2))</f>
        <v>95.700126131687924</v>
      </c>
      <c r="D122" s="68" t="s">
        <v>7</v>
      </c>
    </row>
    <row r="123" spans="1:5" s="31" customFormat="1" ht="16.5" x14ac:dyDescent="0.15">
      <c r="A123" s="25" t="s">
        <v>297</v>
      </c>
      <c r="B123" s="32" t="s">
        <v>90</v>
      </c>
      <c r="C123" s="99">
        <f>Ir</f>
        <v>10.173078108626832</v>
      </c>
      <c r="D123" s="30" t="s">
        <v>10</v>
      </c>
    </row>
    <row r="124" spans="1:5" s="31" customFormat="1" x14ac:dyDescent="0.15">
      <c r="A124" s="148" t="s">
        <v>97</v>
      </c>
      <c r="B124" s="149"/>
      <c r="C124" s="149"/>
      <c r="D124" s="150"/>
    </row>
    <row r="125" spans="1:5" s="31" customFormat="1" ht="17.25" thickBot="1" x14ac:dyDescent="0.2">
      <c r="A125" s="33" t="s">
        <v>396</v>
      </c>
      <c r="B125" s="48" t="s">
        <v>140</v>
      </c>
      <c r="C125" s="100">
        <f>Cr/2</f>
        <v>0.11700000000000001</v>
      </c>
      <c r="D125" s="34" t="str">
        <f>IF(D92="uF", "uF","pF")</f>
        <v>uF</v>
      </c>
    </row>
    <row r="126" spans="1:5" s="31" customFormat="1" ht="14.25" thickBot="1" x14ac:dyDescent="0.2">
      <c r="A126" s="57"/>
      <c r="B126" s="40"/>
      <c r="C126" s="40"/>
      <c r="D126" s="58"/>
    </row>
    <row r="127" spans="1:5" s="31" customFormat="1" x14ac:dyDescent="0.15">
      <c r="A127" s="151" t="s">
        <v>98</v>
      </c>
      <c r="B127" s="152"/>
      <c r="C127" s="152"/>
      <c r="D127" s="153"/>
    </row>
    <row r="128" spans="1:5" s="31" customFormat="1" ht="16.5" x14ac:dyDescent="0.15">
      <c r="A128" s="25" t="s">
        <v>298</v>
      </c>
      <c r="B128" s="32" t="s">
        <v>99</v>
      </c>
      <c r="C128" s="103">
        <f>Vblk_max*1.5</f>
        <v>450</v>
      </c>
      <c r="D128" s="30" t="s">
        <v>7</v>
      </c>
    </row>
    <row r="129" spans="1:5" s="31" customFormat="1" ht="17.25" thickBot="1" x14ac:dyDescent="0.2">
      <c r="A129" s="33" t="s">
        <v>299</v>
      </c>
      <c r="B129" s="48" t="s">
        <v>100</v>
      </c>
      <c r="C129" s="100">
        <f>1.1*Ir</f>
        <v>11.190385919489517</v>
      </c>
      <c r="D129" s="34" t="s">
        <v>10</v>
      </c>
    </row>
    <row r="130" spans="1:5" ht="14.25" thickBot="1" x14ac:dyDescent="0.2">
      <c r="A130" s="27"/>
      <c r="B130" s="26"/>
      <c r="C130" s="26"/>
      <c r="D130" s="26"/>
      <c r="E130" s="87"/>
    </row>
    <row r="131" spans="1:5" s="31" customFormat="1" x14ac:dyDescent="0.15">
      <c r="A131" s="151" t="s">
        <v>397</v>
      </c>
      <c r="B131" s="152"/>
      <c r="C131" s="152"/>
      <c r="D131" s="153"/>
    </row>
    <row r="132" spans="1:5" s="31" customFormat="1" ht="16.5" x14ac:dyDescent="0.15">
      <c r="A132" s="25" t="s">
        <v>300</v>
      </c>
      <c r="B132" s="32" t="s">
        <v>101</v>
      </c>
      <c r="C132" s="99">
        <f>(Vblk_max/Nps)*1.2</f>
        <v>120</v>
      </c>
      <c r="D132" s="30" t="s">
        <v>7</v>
      </c>
    </row>
    <row r="133" spans="1:5" s="31" customFormat="1" ht="17.25" thickBot="1" x14ac:dyDescent="0.2">
      <c r="A133" s="33" t="s">
        <v>301</v>
      </c>
      <c r="B133" s="48" t="s">
        <v>102</v>
      </c>
      <c r="C133" s="100">
        <f>SQRT(2)*C110/PI()</f>
        <v>6.875</v>
      </c>
      <c r="D133" s="34" t="s">
        <v>10</v>
      </c>
    </row>
    <row r="134" spans="1:5" s="31" customFormat="1" ht="14.25" thickBot="1" x14ac:dyDescent="0.2">
      <c r="A134" s="57"/>
      <c r="B134" s="40"/>
      <c r="C134" s="40"/>
      <c r="D134" s="58"/>
    </row>
    <row r="135" spans="1:5" s="31" customFormat="1" ht="16.5" x14ac:dyDescent="0.15">
      <c r="A135" s="151" t="s">
        <v>108</v>
      </c>
      <c r="B135" s="152"/>
      <c r="C135" s="152"/>
      <c r="D135" s="153"/>
    </row>
    <row r="136" spans="1:5" ht="16.5" x14ac:dyDescent="0.15">
      <c r="A136" s="25" t="s">
        <v>403</v>
      </c>
      <c r="B136" s="32" t="s">
        <v>105</v>
      </c>
      <c r="C136" s="99">
        <f>PI()*Iout/(2*SQRT(2))</f>
        <v>13.884009181744894</v>
      </c>
      <c r="D136" s="30" t="s">
        <v>10</v>
      </c>
      <c r="E136" s="12"/>
    </row>
    <row r="137" spans="1:5" ht="16.5" x14ac:dyDescent="0.15">
      <c r="A137" s="25" t="s">
        <v>302</v>
      </c>
      <c r="B137" s="32" t="s">
        <v>103</v>
      </c>
      <c r="C137" s="98">
        <f>MROUND(Vout*1.25,10)</f>
        <v>60</v>
      </c>
      <c r="D137" s="30" t="s">
        <v>7</v>
      </c>
      <c r="E137" s="12"/>
    </row>
    <row r="138" spans="1:5" ht="16.5" x14ac:dyDescent="0.15">
      <c r="A138" s="25" t="s">
        <v>401</v>
      </c>
      <c r="B138" s="32" t="s">
        <v>104</v>
      </c>
      <c r="C138" s="99">
        <f>SQRT((PI()*Iout/(2*SQRT(2)))^2-Iout^2)</f>
        <v>6.0428230951084867</v>
      </c>
      <c r="D138" s="30" t="s">
        <v>10</v>
      </c>
      <c r="E138" s="12" t="s">
        <v>126</v>
      </c>
    </row>
    <row r="139" spans="1:5" ht="17.25" thickBot="1" x14ac:dyDescent="0.2">
      <c r="A139" s="33" t="s">
        <v>303</v>
      </c>
      <c r="B139" s="48" t="s">
        <v>106</v>
      </c>
      <c r="C139" s="100">
        <f>Vout_pp*mV/((2*PI()*Iout)/4)/mOhm</f>
        <v>50.929581789406505</v>
      </c>
      <c r="D139" s="34" t="s">
        <v>107</v>
      </c>
    </row>
    <row r="140" spans="1:5" ht="14.25" thickBot="1" x14ac:dyDescent="0.2">
      <c r="A140" s="57"/>
      <c r="B140" s="40"/>
      <c r="C140" s="63"/>
      <c r="D140" s="40"/>
      <c r="E140" s="87"/>
    </row>
    <row r="141" spans="1:5" x14ac:dyDescent="0.15">
      <c r="A141" s="151" t="s">
        <v>141</v>
      </c>
      <c r="B141" s="152"/>
      <c r="C141" s="152"/>
      <c r="D141" s="153"/>
    </row>
    <row r="142" spans="1:5" ht="16.5" x14ac:dyDescent="0.25">
      <c r="A142" s="74" t="s">
        <v>304</v>
      </c>
      <c r="B142" s="64" t="s">
        <v>142</v>
      </c>
      <c r="C142" s="145">
        <f>IF(C22="UCC256304", 1, 3.05)</f>
        <v>3.05</v>
      </c>
      <c r="D142" s="75" t="s">
        <v>7</v>
      </c>
      <c r="E142" s="12"/>
    </row>
    <row r="143" spans="1:5" ht="16.5" x14ac:dyDescent="0.25">
      <c r="A143" s="74" t="s">
        <v>305</v>
      </c>
      <c r="B143" s="64" t="s">
        <v>143</v>
      </c>
      <c r="C143" s="145">
        <f>IF(C22="UCC256301", 0.87, IF(C22="UCC256302", 2.2, IF(C22="UCC256303", 2.2, IF(C22="UCC256304", 0.87))))</f>
        <v>2.2000000000000002</v>
      </c>
      <c r="D143" s="75" t="s">
        <v>7</v>
      </c>
      <c r="E143" s="12"/>
    </row>
    <row r="144" spans="1:5" ht="16.5" x14ac:dyDescent="0.25">
      <c r="A144" s="74" t="s">
        <v>306</v>
      </c>
      <c r="B144" s="64" t="s">
        <v>144</v>
      </c>
      <c r="C144" s="137">
        <f>IF(C22="UCC256304", 5.03, 4.031)</f>
        <v>4.0309999999999997</v>
      </c>
      <c r="D144" s="75" t="s">
        <v>7</v>
      </c>
    </row>
    <row r="145" spans="1:5" ht="16.5" x14ac:dyDescent="0.25">
      <c r="A145" s="74" t="s">
        <v>307</v>
      </c>
      <c r="B145" s="64" t="s">
        <v>145</v>
      </c>
      <c r="C145" s="137">
        <v>3.76</v>
      </c>
      <c r="D145" s="75" t="s">
        <v>7</v>
      </c>
    </row>
    <row r="146" spans="1:5" ht="18" x14ac:dyDescent="0.35">
      <c r="A146" s="74" t="s">
        <v>308</v>
      </c>
      <c r="B146" s="65" t="s">
        <v>146</v>
      </c>
      <c r="C146" s="114">
        <f>Vblk_hu</f>
        <v>280</v>
      </c>
      <c r="D146" s="75" t="s">
        <v>7</v>
      </c>
      <c r="E146" s="12"/>
    </row>
    <row r="147" spans="1:5" ht="18" x14ac:dyDescent="0.35">
      <c r="A147" s="74" t="s">
        <v>309</v>
      </c>
      <c r="B147" s="65" t="s">
        <v>146</v>
      </c>
      <c r="C147" s="73">
        <f>C142*(C156*1000+C158)/C158</f>
        <v>250.1</v>
      </c>
      <c r="D147" s="75" t="s">
        <v>7</v>
      </c>
    </row>
    <row r="148" spans="1:5" ht="16.5" x14ac:dyDescent="0.25">
      <c r="A148" s="74" t="s">
        <v>310</v>
      </c>
      <c r="B148" s="64" t="s">
        <v>147</v>
      </c>
      <c r="C148" s="64">
        <f>Vblk</f>
        <v>290</v>
      </c>
      <c r="D148" s="75" t="s">
        <v>7</v>
      </c>
    </row>
    <row r="149" spans="1:5" ht="16.5" x14ac:dyDescent="0.25">
      <c r="A149" s="74" t="s">
        <v>311</v>
      </c>
      <c r="B149" s="64" t="s">
        <v>148</v>
      </c>
      <c r="C149" s="73">
        <f>C143*(C156*1000+C158)/C158</f>
        <v>180.40000000000003</v>
      </c>
      <c r="D149" s="75" t="s">
        <v>7</v>
      </c>
    </row>
    <row r="150" spans="1:5" ht="16.5" x14ac:dyDescent="0.25">
      <c r="A150" s="74" t="s">
        <v>312</v>
      </c>
      <c r="B150" s="64" t="s">
        <v>149</v>
      </c>
      <c r="C150" s="73">
        <f>C144*(C156*1000+C158)/C158</f>
        <v>330.54199999999997</v>
      </c>
      <c r="D150" s="75" t="s">
        <v>7</v>
      </c>
    </row>
    <row r="151" spans="1:5" ht="16.5" x14ac:dyDescent="0.25">
      <c r="A151" s="74" t="s">
        <v>313</v>
      </c>
      <c r="B151" s="64" t="s">
        <v>150</v>
      </c>
      <c r="C151" s="73">
        <f>C145*(C156*1000+C158)/C158</f>
        <v>308.32</v>
      </c>
      <c r="D151" s="75" t="s">
        <v>7</v>
      </c>
    </row>
    <row r="152" spans="1:5" ht="16.5" x14ac:dyDescent="0.25">
      <c r="A152" s="74" t="s">
        <v>314</v>
      </c>
      <c r="B152" s="64" t="s">
        <v>151</v>
      </c>
      <c r="C152" s="73">
        <f>C146/C142</f>
        <v>91.8032786885246</v>
      </c>
      <c r="D152" s="75"/>
    </row>
    <row r="153" spans="1:5" ht="16.5" x14ac:dyDescent="0.25">
      <c r="A153" s="74" t="s">
        <v>315</v>
      </c>
      <c r="B153" s="64" t="s">
        <v>152</v>
      </c>
      <c r="C153" s="126">
        <v>0.1</v>
      </c>
      <c r="D153" s="75" t="s">
        <v>8</v>
      </c>
      <c r="E153" s="12" t="s">
        <v>205</v>
      </c>
    </row>
    <row r="154" spans="1:5" ht="16.5" x14ac:dyDescent="0.25">
      <c r="A154" s="74" t="s">
        <v>316</v>
      </c>
      <c r="B154" s="64" t="s">
        <v>153</v>
      </c>
      <c r="C154" s="64">
        <f>C148^2/C153/10^6</f>
        <v>0.84099999999999997</v>
      </c>
      <c r="D154" s="76" t="s">
        <v>154</v>
      </c>
    </row>
    <row r="155" spans="1:5" ht="16.5" x14ac:dyDescent="0.25">
      <c r="A155" s="74" t="s">
        <v>317</v>
      </c>
      <c r="B155" s="64" t="s">
        <v>221</v>
      </c>
      <c r="C155" s="102">
        <f>C154-C157/1000</f>
        <v>0.83183910714285714</v>
      </c>
      <c r="D155" s="76" t="s">
        <v>154</v>
      </c>
    </row>
    <row r="156" spans="1:5" ht="16.5" x14ac:dyDescent="0.25">
      <c r="A156" s="74" t="s">
        <v>318</v>
      </c>
      <c r="B156" s="64" t="s">
        <v>221</v>
      </c>
      <c r="C156" s="126">
        <v>0.81</v>
      </c>
      <c r="D156" s="76" t="s">
        <v>154</v>
      </c>
      <c r="E156" s="12" t="s">
        <v>240</v>
      </c>
    </row>
    <row r="157" spans="1:5" ht="16.5" x14ac:dyDescent="0.25">
      <c r="A157" s="74" t="s">
        <v>319</v>
      </c>
      <c r="B157" s="64" t="s">
        <v>222</v>
      </c>
      <c r="C157" s="102">
        <f>C154/C152*1000</f>
        <v>9.160892857142855</v>
      </c>
      <c r="D157" s="76" t="s">
        <v>155</v>
      </c>
    </row>
    <row r="158" spans="1:5" ht="17.25" thickBot="1" x14ac:dyDescent="0.3">
      <c r="A158" s="77" t="s">
        <v>320</v>
      </c>
      <c r="B158" s="78" t="s">
        <v>222</v>
      </c>
      <c r="C158" s="125">
        <v>10</v>
      </c>
      <c r="D158" s="79" t="s">
        <v>155</v>
      </c>
      <c r="E158" s="12" t="s">
        <v>206</v>
      </c>
    </row>
    <row r="159" spans="1:5" ht="15.75" thickBot="1" x14ac:dyDescent="0.3">
      <c r="A159" s="71"/>
      <c r="B159" s="71"/>
      <c r="C159" s="71"/>
      <c r="D159" s="72"/>
    </row>
    <row r="160" spans="1:5" x14ac:dyDescent="0.15">
      <c r="A160" s="151" t="s">
        <v>157</v>
      </c>
      <c r="B160" s="152"/>
      <c r="C160" s="152"/>
      <c r="D160" s="153"/>
    </row>
    <row r="161" spans="1:5" ht="18" x14ac:dyDescent="0.35">
      <c r="A161" s="82" t="s">
        <v>321</v>
      </c>
      <c r="B161" s="68" t="s">
        <v>171</v>
      </c>
      <c r="C161" s="94">
        <f>Ir/0.707</f>
        <v>14.389077947138377</v>
      </c>
      <c r="D161" s="83" t="s">
        <v>10</v>
      </c>
    </row>
    <row r="162" spans="1:5" ht="18" x14ac:dyDescent="0.35">
      <c r="A162" s="82" t="s">
        <v>322</v>
      </c>
      <c r="B162" s="68" t="s">
        <v>172</v>
      </c>
      <c r="C162" s="80">
        <f>C121-C122</f>
        <v>108.59974773662417</v>
      </c>
      <c r="D162" s="83" t="s">
        <v>7</v>
      </c>
    </row>
    <row r="163" spans="1:5" ht="18" x14ac:dyDescent="0.35">
      <c r="A163" s="82" t="s">
        <v>323</v>
      </c>
      <c r="B163" s="68" t="s">
        <v>173</v>
      </c>
      <c r="C163" s="118">
        <v>4</v>
      </c>
      <c r="D163" s="83" t="s">
        <v>7</v>
      </c>
      <c r="E163" s="12" t="s">
        <v>400</v>
      </c>
    </row>
    <row r="164" spans="1:5" ht="18" x14ac:dyDescent="0.35">
      <c r="A164" s="82" t="s">
        <v>324</v>
      </c>
      <c r="B164" s="68" t="s">
        <v>174</v>
      </c>
      <c r="C164" s="138">
        <v>3.02</v>
      </c>
      <c r="D164" s="83" t="s">
        <v>7</v>
      </c>
    </row>
    <row r="165" spans="1:5" ht="18" x14ac:dyDescent="0.35">
      <c r="A165" s="82" t="s">
        <v>325</v>
      </c>
      <c r="B165" s="68" t="s">
        <v>175</v>
      </c>
      <c r="C165" s="68">
        <f>C164+C163/2</f>
        <v>5.0199999999999996</v>
      </c>
      <c r="D165" s="83" t="s">
        <v>7</v>
      </c>
    </row>
    <row r="166" spans="1:5" ht="18" x14ac:dyDescent="0.35">
      <c r="A166" s="82" t="s">
        <v>326</v>
      </c>
      <c r="B166" s="68" t="s">
        <v>176</v>
      </c>
      <c r="C166" s="68">
        <f>C164-C163/2</f>
        <v>1.02</v>
      </c>
      <c r="D166" s="83" t="s">
        <v>7</v>
      </c>
    </row>
    <row r="167" spans="1:5" ht="18" x14ac:dyDescent="0.35">
      <c r="A167" s="82" t="s">
        <v>327</v>
      </c>
      <c r="B167" s="68" t="s">
        <v>177</v>
      </c>
      <c r="C167" s="118">
        <v>0.33</v>
      </c>
      <c r="D167" s="83"/>
      <c r="E167" s="12" t="s">
        <v>402</v>
      </c>
    </row>
    <row r="168" spans="1:5" ht="18" x14ac:dyDescent="0.35">
      <c r="A168" s="82" t="s">
        <v>328</v>
      </c>
      <c r="B168" s="68" t="s">
        <v>178</v>
      </c>
      <c r="C168" s="139">
        <v>1.84</v>
      </c>
      <c r="D168" s="83" t="s">
        <v>161</v>
      </c>
    </row>
    <row r="169" spans="1:5" ht="18" x14ac:dyDescent="0.35">
      <c r="A169" s="82" t="s">
        <v>329</v>
      </c>
      <c r="B169" s="68" t="s">
        <v>179</v>
      </c>
      <c r="C169" s="81">
        <f>Cr*10^-6/(C161/(C168*10^-3/C167)-1)*10^12</f>
        <v>90.70998533820557</v>
      </c>
      <c r="D169" s="83" t="s">
        <v>71</v>
      </c>
    </row>
    <row r="170" spans="1:5" ht="18" x14ac:dyDescent="0.35">
      <c r="A170" s="82" t="s">
        <v>330</v>
      </c>
      <c r="B170" s="68" t="s">
        <v>180</v>
      </c>
      <c r="C170" s="94">
        <f>C162/C163</f>
        <v>27.149936934156042</v>
      </c>
      <c r="D170" s="83"/>
    </row>
    <row r="171" spans="1:5" ht="18" x14ac:dyDescent="0.35">
      <c r="A171" s="82" t="s">
        <v>331</v>
      </c>
      <c r="B171" s="68" t="s">
        <v>219</v>
      </c>
      <c r="C171" s="96">
        <f>C173/(C170-1)</f>
        <v>94.178826795322948</v>
      </c>
      <c r="D171" s="83" t="s">
        <v>71</v>
      </c>
      <c r="E171" s="87"/>
    </row>
    <row r="172" spans="1:5" ht="18" x14ac:dyDescent="0.35">
      <c r="A172" s="82" t="s">
        <v>332</v>
      </c>
      <c r="B172" s="68" t="s">
        <v>219</v>
      </c>
      <c r="C172" s="124">
        <v>94</v>
      </c>
      <c r="D172" s="83" t="s">
        <v>71</v>
      </c>
      <c r="E172" s="12" t="s">
        <v>212</v>
      </c>
    </row>
    <row r="173" spans="1:5" ht="18" x14ac:dyDescent="0.35">
      <c r="A173" s="82" t="s">
        <v>333</v>
      </c>
      <c r="B173" s="68" t="s">
        <v>220</v>
      </c>
      <c r="C173" s="96">
        <f>C169*C170</f>
        <v>2462.7703812305003</v>
      </c>
      <c r="D173" s="83" t="s">
        <v>71</v>
      </c>
    </row>
    <row r="174" spans="1:5" ht="18" x14ac:dyDescent="0.35">
      <c r="A174" s="82" t="s">
        <v>334</v>
      </c>
      <c r="B174" s="68" t="s">
        <v>220</v>
      </c>
      <c r="C174" s="124">
        <v>2460</v>
      </c>
      <c r="D174" s="83" t="s">
        <v>71</v>
      </c>
      <c r="E174" s="12" t="s">
        <v>213</v>
      </c>
    </row>
    <row r="175" spans="1:5" ht="18" x14ac:dyDescent="0.35">
      <c r="A175" s="82" t="s">
        <v>335</v>
      </c>
      <c r="B175" s="68"/>
      <c r="C175" s="68"/>
      <c r="D175" s="83"/>
    </row>
    <row r="176" spans="1:5" ht="18" x14ac:dyDescent="0.35">
      <c r="A176" s="82" t="s">
        <v>336</v>
      </c>
      <c r="B176" s="68" t="s">
        <v>168</v>
      </c>
      <c r="C176" s="94">
        <f>C172/(C172+C174)/(Cr*10^-6)*Vout*Iout/C147*(1/(fsw_min*10^3))+C168*10^-3*(1/fsw_min/10^3)/2/((C172+C174)*10^-12)</f>
        <v>4.0928134666649214</v>
      </c>
      <c r="D176" s="83" t="s">
        <v>7</v>
      </c>
    </row>
    <row r="177" spans="1:5" ht="15" x14ac:dyDescent="0.25">
      <c r="A177" s="82" t="s">
        <v>170</v>
      </c>
      <c r="B177" s="68" t="s">
        <v>169</v>
      </c>
      <c r="C177" s="94">
        <f>C172/(C172+C174)/(Cr*10^-6)*Vout*Iout/2/Vblk*(1/(f0*10^3))+C168*10^-3*(1/f0/10^3)/2/((C172+C174)*10^-12)</f>
        <v>2.6116360884698056</v>
      </c>
      <c r="D177" s="83" t="s">
        <v>7</v>
      </c>
    </row>
    <row r="178" spans="1:5" ht="15.75" thickBot="1" x14ac:dyDescent="0.3">
      <c r="A178" s="84" t="s">
        <v>166</v>
      </c>
      <c r="B178" s="85" t="s">
        <v>167</v>
      </c>
      <c r="C178" s="95">
        <f>2*(C168*10^-3+C168*10^-3/C167)/(2*3.14*fsw_min*10^3*C174*10^-12)</f>
        <v>5.3274322894033581</v>
      </c>
      <c r="D178" s="86" t="s">
        <v>7</v>
      </c>
    </row>
    <row r="179" spans="1:5" ht="14.25" thickBot="1" x14ac:dyDescent="0.2">
      <c r="A179" s="57"/>
      <c r="B179" s="40"/>
      <c r="C179" s="63"/>
      <c r="D179" s="40"/>
    </row>
    <row r="180" spans="1:5" x14ac:dyDescent="0.15">
      <c r="A180" s="151" t="s">
        <v>156</v>
      </c>
      <c r="B180" s="152"/>
      <c r="C180" s="152"/>
      <c r="D180" s="153"/>
    </row>
    <row r="181" spans="1:5" ht="18" x14ac:dyDescent="0.35">
      <c r="A181" s="82" t="s">
        <v>337</v>
      </c>
      <c r="B181" s="68" t="s">
        <v>182</v>
      </c>
      <c r="C181" s="139">
        <v>7</v>
      </c>
      <c r="D181" s="83" t="s">
        <v>7</v>
      </c>
    </row>
    <row r="182" spans="1:5" ht="18" x14ac:dyDescent="0.35">
      <c r="A182" s="82" t="s">
        <v>338</v>
      </c>
      <c r="B182" s="68" t="s">
        <v>183</v>
      </c>
      <c r="C182" s="140">
        <v>25.8</v>
      </c>
      <c r="D182" s="83" t="s">
        <v>160</v>
      </c>
    </row>
    <row r="183" spans="1:5" ht="18" x14ac:dyDescent="0.35">
      <c r="A183" s="88" t="s">
        <v>339</v>
      </c>
      <c r="B183" s="69" t="s">
        <v>184</v>
      </c>
      <c r="C183" s="123">
        <v>28</v>
      </c>
      <c r="D183" s="89" t="s">
        <v>162</v>
      </c>
      <c r="E183" s="12" t="s">
        <v>207</v>
      </c>
    </row>
    <row r="184" spans="1:5" ht="18" x14ac:dyDescent="0.35">
      <c r="A184" s="88" t="s">
        <v>340</v>
      </c>
      <c r="B184" s="69" t="s">
        <v>184</v>
      </c>
      <c r="C184" s="93">
        <f>C181*C186/C182</f>
        <v>27.131782945736433</v>
      </c>
      <c r="D184" s="89" t="s">
        <v>162</v>
      </c>
    </row>
    <row r="185" spans="1:5" ht="18" x14ac:dyDescent="0.35">
      <c r="A185" s="82" t="s">
        <v>341</v>
      </c>
      <c r="B185" s="68" t="s">
        <v>185</v>
      </c>
      <c r="C185" s="96">
        <f>C182*10^-6*C183*10^-3/C181*10^9</f>
        <v>103.20000000000002</v>
      </c>
      <c r="D185" s="83" t="s">
        <v>164</v>
      </c>
    </row>
    <row r="186" spans="1:5" ht="18.75" thickBot="1" x14ac:dyDescent="0.4">
      <c r="A186" s="90" t="s">
        <v>342</v>
      </c>
      <c r="B186" s="91" t="s">
        <v>185</v>
      </c>
      <c r="C186" s="122">
        <v>100</v>
      </c>
      <c r="D186" s="92" t="s">
        <v>164</v>
      </c>
      <c r="E186" s="12" t="s">
        <v>208</v>
      </c>
    </row>
    <row r="187" spans="1:5" ht="15.75" thickBot="1" x14ac:dyDescent="0.3">
      <c r="A187" s="66"/>
      <c r="B187" s="66"/>
      <c r="C187" s="66"/>
      <c r="D187" s="66"/>
    </row>
    <row r="188" spans="1:5" x14ac:dyDescent="0.15">
      <c r="A188" s="151" t="s">
        <v>398</v>
      </c>
      <c r="B188" s="152"/>
      <c r="C188" s="152"/>
      <c r="D188" s="153"/>
    </row>
    <row r="189" spans="1:5" ht="18" x14ac:dyDescent="0.35">
      <c r="A189" s="82" t="s">
        <v>343</v>
      </c>
      <c r="B189" s="68" t="s">
        <v>186</v>
      </c>
      <c r="C189" s="121">
        <v>4.8</v>
      </c>
      <c r="D189" s="83" t="s">
        <v>165</v>
      </c>
      <c r="E189" s="12" t="s">
        <v>209</v>
      </c>
    </row>
    <row r="190" spans="1:5" ht="18" x14ac:dyDescent="0.35">
      <c r="A190" s="82" t="s">
        <v>344</v>
      </c>
      <c r="B190" s="68" t="s">
        <v>187</v>
      </c>
      <c r="C190" s="68">
        <f>C189*Iout/100</f>
        <v>0.6</v>
      </c>
      <c r="D190" s="83" t="s">
        <v>10</v>
      </c>
    </row>
    <row r="191" spans="1:5" ht="15" x14ac:dyDescent="0.25">
      <c r="A191" s="82" t="s">
        <v>345</v>
      </c>
      <c r="B191" s="68"/>
      <c r="C191" s="118">
        <v>10</v>
      </c>
      <c r="D191" s="83" t="s">
        <v>204</v>
      </c>
      <c r="E191" s="12" t="s">
        <v>241</v>
      </c>
    </row>
    <row r="192" spans="1:5" ht="18" x14ac:dyDescent="0.35">
      <c r="A192" s="82" t="s">
        <v>346</v>
      </c>
      <c r="B192" s="68"/>
      <c r="C192" s="118">
        <v>1.3</v>
      </c>
      <c r="D192" s="83" t="s">
        <v>7</v>
      </c>
      <c r="E192" s="12" t="s">
        <v>247</v>
      </c>
    </row>
    <row r="193" spans="1:5" ht="15" x14ac:dyDescent="0.25">
      <c r="A193" s="82" t="s">
        <v>347</v>
      </c>
      <c r="B193" s="68"/>
      <c r="C193" s="140">
        <f>IF(C22="UCC256303", 161, 80.463)</f>
        <v>161</v>
      </c>
      <c r="D193" s="83" t="s">
        <v>232</v>
      </c>
      <c r="E193" s="12"/>
    </row>
    <row r="194" spans="1:5" s="108" customFormat="1" ht="18" x14ac:dyDescent="0.35">
      <c r="A194" s="82" t="s">
        <v>348</v>
      </c>
      <c r="B194" s="70" t="s">
        <v>188</v>
      </c>
      <c r="C194" s="94">
        <f>(C193-C192/C191*1000)*0.1</f>
        <v>3.1</v>
      </c>
      <c r="D194" s="83" t="s">
        <v>7</v>
      </c>
    </row>
    <row r="195" spans="1:5" ht="18" x14ac:dyDescent="0.35">
      <c r="A195" s="82" t="s">
        <v>349</v>
      </c>
      <c r="B195" s="70" t="s">
        <v>189</v>
      </c>
      <c r="C195" s="94">
        <f>C158/(C158+C156*1000)*Vblk_max</f>
        <v>3.6585365853658538</v>
      </c>
      <c r="D195" s="83" t="s">
        <v>7</v>
      </c>
      <c r="E195" s="12"/>
    </row>
    <row r="196" spans="1:5" ht="18" x14ac:dyDescent="0.35">
      <c r="A196" s="82" t="s">
        <v>350</v>
      </c>
      <c r="B196" s="70"/>
      <c r="C196" s="120">
        <v>1.2</v>
      </c>
      <c r="D196" s="83" t="s">
        <v>7</v>
      </c>
      <c r="E196" s="12" t="s">
        <v>248</v>
      </c>
    </row>
    <row r="197" spans="1:5" s="108" customFormat="1" ht="18" x14ac:dyDescent="0.35">
      <c r="A197" s="82" t="s">
        <v>351</v>
      </c>
      <c r="B197" s="70" t="s">
        <v>190</v>
      </c>
      <c r="C197" s="94">
        <f>(C193-C196/C191*1000)*0.1</f>
        <v>4.1000000000000005</v>
      </c>
      <c r="D197" s="83" t="s">
        <v>7</v>
      </c>
      <c r="E197" s="12"/>
    </row>
    <row r="198" spans="1:5" ht="18" x14ac:dyDescent="0.35">
      <c r="A198" s="82" t="s">
        <v>352</v>
      </c>
      <c r="B198" s="70" t="s">
        <v>191</v>
      </c>
      <c r="C198" s="94">
        <f>C158/(C158+C156*1000)*Vblk_hu</f>
        <v>3.4146341463414633</v>
      </c>
      <c r="D198" s="83" t="s">
        <v>7</v>
      </c>
      <c r="E198" s="12"/>
    </row>
    <row r="199" spans="1:5" ht="18" x14ac:dyDescent="0.35">
      <c r="A199" s="82" t="s">
        <v>353</v>
      </c>
      <c r="B199" s="70" t="s">
        <v>217</v>
      </c>
      <c r="C199" s="96">
        <f>C203*1000*12*(C195-C198)/(C195*C197-C198*C194)/1000</f>
        <v>165.74585635359125</v>
      </c>
      <c r="D199" s="83" t="s">
        <v>204</v>
      </c>
    </row>
    <row r="200" spans="1:5" ht="18" x14ac:dyDescent="0.35">
      <c r="A200" s="82" t="s">
        <v>354</v>
      </c>
      <c r="B200" s="70" t="s">
        <v>217</v>
      </c>
      <c r="C200" s="124">
        <v>165</v>
      </c>
      <c r="D200" s="83" t="s">
        <v>204</v>
      </c>
      <c r="E200" s="12" t="s">
        <v>214</v>
      </c>
    </row>
    <row r="201" spans="1:5" ht="18" x14ac:dyDescent="0.35">
      <c r="A201" s="82" t="s">
        <v>355</v>
      </c>
      <c r="B201" s="70" t="s">
        <v>218</v>
      </c>
      <c r="C201" s="96">
        <f>-C203*1000*12*(C195-C198)/(C195*C197-C198*C194+C194*12-C197*12)/1000</f>
        <v>96.463022508038662</v>
      </c>
      <c r="D201" s="83" t="s">
        <v>204</v>
      </c>
    </row>
    <row r="202" spans="1:5" ht="18" x14ac:dyDescent="0.35">
      <c r="A202" s="82" t="s">
        <v>356</v>
      </c>
      <c r="B202" s="70" t="s">
        <v>218</v>
      </c>
      <c r="C202" s="124">
        <v>100</v>
      </c>
      <c r="D202" s="83" t="s">
        <v>204</v>
      </c>
      <c r="E202" s="12" t="s">
        <v>215</v>
      </c>
    </row>
    <row r="203" spans="1:5" ht="18.75" thickBot="1" x14ac:dyDescent="0.4">
      <c r="A203" s="84" t="s">
        <v>357</v>
      </c>
      <c r="B203" s="107" t="s">
        <v>192</v>
      </c>
      <c r="C203" s="141">
        <v>250</v>
      </c>
      <c r="D203" s="86" t="s">
        <v>204</v>
      </c>
    </row>
    <row r="204" spans="1:5" ht="15.75" thickBot="1" x14ac:dyDescent="0.3">
      <c r="A204" s="66"/>
      <c r="B204" s="66"/>
      <c r="C204" s="66"/>
      <c r="D204" s="66"/>
    </row>
    <row r="205" spans="1:5" x14ac:dyDescent="0.15">
      <c r="A205" s="151" t="s">
        <v>159</v>
      </c>
      <c r="B205" s="152"/>
      <c r="C205" s="152"/>
      <c r="D205" s="153"/>
    </row>
    <row r="206" spans="1:5" ht="18" x14ac:dyDescent="0.35">
      <c r="A206" s="82" t="s">
        <v>358</v>
      </c>
      <c r="B206" s="68" t="s">
        <v>193</v>
      </c>
      <c r="C206" s="118">
        <v>120</v>
      </c>
      <c r="D206" s="83" t="s">
        <v>165</v>
      </c>
      <c r="E206" s="12" t="s">
        <v>242</v>
      </c>
    </row>
    <row r="207" spans="1:5" ht="18" x14ac:dyDescent="0.35">
      <c r="A207" s="82" t="s">
        <v>359</v>
      </c>
      <c r="B207" s="68" t="s">
        <v>193</v>
      </c>
      <c r="C207" s="81">
        <f>-C208*(C214+C212)/C212/Vout*C43/Nps*100</f>
        <v>122.29017857142858</v>
      </c>
      <c r="D207" s="83" t="s">
        <v>165</v>
      </c>
      <c r="E207" s="12"/>
    </row>
    <row r="208" spans="1:5" ht="18" x14ac:dyDescent="0.35">
      <c r="A208" s="82" t="s">
        <v>360</v>
      </c>
      <c r="B208" s="68" t="s">
        <v>194</v>
      </c>
      <c r="C208" s="142">
        <v>-3.97</v>
      </c>
      <c r="D208" s="83" t="s">
        <v>7</v>
      </c>
    </row>
    <row r="209" spans="1:5" ht="18" x14ac:dyDescent="0.35">
      <c r="A209" s="82" t="s">
        <v>361</v>
      </c>
      <c r="B209" s="68" t="s">
        <v>195</v>
      </c>
      <c r="C209" s="94">
        <f>C208/C206*100</f>
        <v>-3.3083333333333331</v>
      </c>
      <c r="D209" s="83" t="s">
        <v>7</v>
      </c>
    </row>
    <row r="210" spans="1:5" ht="18" x14ac:dyDescent="0.35">
      <c r="A210" s="82" t="s">
        <v>362</v>
      </c>
      <c r="B210" s="68" t="s">
        <v>196</v>
      </c>
      <c r="C210" s="81">
        <f>Vout*Nps/C43</f>
        <v>16</v>
      </c>
      <c r="D210" s="83" t="s">
        <v>7</v>
      </c>
    </row>
    <row r="211" spans="1:5" ht="18" x14ac:dyDescent="0.35">
      <c r="A211" s="82" t="s">
        <v>363</v>
      </c>
      <c r="B211" s="68" t="s">
        <v>243</v>
      </c>
      <c r="C211" s="80">
        <f>-C210/C209</f>
        <v>4.8362720403022674</v>
      </c>
      <c r="D211" s="83"/>
    </row>
    <row r="212" spans="1:5" ht="18" x14ac:dyDescent="0.35">
      <c r="A212" s="82" t="s">
        <v>364</v>
      </c>
      <c r="B212" s="68" t="s">
        <v>197</v>
      </c>
      <c r="C212" s="118">
        <v>5.6</v>
      </c>
      <c r="D212" s="83" t="s">
        <v>204</v>
      </c>
      <c r="E212" s="12" t="s">
        <v>210</v>
      </c>
    </row>
    <row r="213" spans="1:5" ht="18" x14ac:dyDescent="0.35">
      <c r="A213" s="82" t="s">
        <v>365</v>
      </c>
      <c r="B213" s="68" t="s">
        <v>198</v>
      </c>
      <c r="C213" s="97">
        <f>C212*C211-C212</f>
        <v>21.483123425692696</v>
      </c>
      <c r="D213" s="83" t="s">
        <v>204</v>
      </c>
    </row>
    <row r="214" spans="1:5" ht="18" x14ac:dyDescent="0.35">
      <c r="A214" s="82" t="s">
        <v>366</v>
      </c>
      <c r="B214" s="68" t="s">
        <v>198</v>
      </c>
      <c r="C214" s="118">
        <v>22</v>
      </c>
      <c r="D214" s="83" t="s">
        <v>204</v>
      </c>
      <c r="E214" s="12" t="s">
        <v>245</v>
      </c>
    </row>
    <row r="215" spans="1:5" ht="15" x14ac:dyDescent="0.25">
      <c r="A215" s="82" t="s">
        <v>367</v>
      </c>
      <c r="B215" s="68"/>
      <c r="C215" s="97">
        <f>1/(50*f0*10^3)/2/3.14/(C212*C214/(C212+C214))*10^9</f>
        <v>3.5631852778816904</v>
      </c>
      <c r="D215" s="83" t="s">
        <v>71</v>
      </c>
    </row>
    <row r="216" spans="1:5" ht="15.75" thickBot="1" x14ac:dyDescent="0.3">
      <c r="A216" s="90" t="s">
        <v>368</v>
      </c>
      <c r="B216" s="91"/>
      <c r="C216" s="119">
        <v>6.8</v>
      </c>
      <c r="D216" s="92" t="s">
        <v>71</v>
      </c>
      <c r="E216" s="12" t="s">
        <v>216</v>
      </c>
    </row>
    <row r="217" spans="1:5" ht="15.75" thickBot="1" x14ac:dyDescent="0.3">
      <c r="A217" s="67"/>
      <c r="B217" s="66"/>
      <c r="C217" s="66"/>
      <c r="D217" s="66"/>
    </row>
    <row r="218" spans="1:5" x14ac:dyDescent="0.15">
      <c r="A218" s="151" t="s">
        <v>158</v>
      </c>
      <c r="B218" s="152"/>
      <c r="C218" s="152"/>
      <c r="D218" s="153"/>
    </row>
    <row r="219" spans="1:5" ht="15" x14ac:dyDescent="0.25">
      <c r="A219" s="82" t="s">
        <v>369</v>
      </c>
      <c r="B219" s="68"/>
      <c r="C219" s="142">
        <v>0.64</v>
      </c>
      <c r="D219" s="83" t="s">
        <v>7</v>
      </c>
    </row>
    <row r="220" spans="1:5" s="31" customFormat="1" ht="15" x14ac:dyDescent="0.25">
      <c r="A220" s="82" t="s">
        <v>370</v>
      </c>
      <c r="B220" s="68"/>
      <c r="C220" s="142">
        <v>0.84</v>
      </c>
      <c r="D220" s="83" t="s">
        <v>7</v>
      </c>
    </row>
    <row r="221" spans="1:5" s="31" customFormat="1" ht="15" x14ac:dyDescent="0.25">
      <c r="A221" s="82" t="s">
        <v>371</v>
      </c>
      <c r="B221" s="68"/>
      <c r="C221" s="142">
        <v>4.03</v>
      </c>
      <c r="D221" s="83" t="s">
        <v>7</v>
      </c>
    </row>
    <row r="222" spans="1:5" ht="15" x14ac:dyDescent="0.25">
      <c r="A222" s="82" t="s">
        <v>372</v>
      </c>
      <c r="B222" s="68"/>
      <c r="C222" s="118">
        <v>200</v>
      </c>
      <c r="D222" s="83" t="s">
        <v>165</v>
      </c>
      <c r="E222" s="12" t="s">
        <v>246</v>
      </c>
    </row>
    <row r="223" spans="1:5" ht="15" x14ac:dyDescent="0.25">
      <c r="A223" s="82" t="s">
        <v>373</v>
      </c>
      <c r="B223" s="68"/>
      <c r="C223" s="81">
        <f>C222/C219*C220</f>
        <v>262.5</v>
      </c>
      <c r="D223" s="83" t="s">
        <v>165</v>
      </c>
    </row>
    <row r="224" spans="1:5" ht="15" x14ac:dyDescent="0.25">
      <c r="A224" s="82" t="s">
        <v>374</v>
      </c>
      <c r="B224" s="68"/>
      <c r="C224" s="94">
        <f>C219/C222*100</f>
        <v>0.32</v>
      </c>
      <c r="D224" s="83" t="s">
        <v>7</v>
      </c>
    </row>
    <row r="225" spans="1:5" ht="18" x14ac:dyDescent="0.35">
      <c r="A225" s="82" t="s">
        <v>375</v>
      </c>
      <c r="B225" s="68" t="s">
        <v>244</v>
      </c>
      <c r="C225" s="94">
        <f>C224/(Pout/eff/Vblk)</f>
        <v>0.14384000000000002</v>
      </c>
      <c r="D225" s="83"/>
    </row>
    <row r="226" spans="1:5" ht="18" x14ac:dyDescent="0.35">
      <c r="A226" s="82" t="s">
        <v>376</v>
      </c>
      <c r="B226" s="68" t="s">
        <v>199</v>
      </c>
      <c r="C226" s="118">
        <v>150</v>
      </c>
      <c r="D226" s="83" t="s">
        <v>71</v>
      </c>
      <c r="E226" s="12" t="s">
        <v>399</v>
      </c>
    </row>
    <row r="227" spans="1:5" ht="18" x14ac:dyDescent="0.35">
      <c r="A227" s="82" t="s">
        <v>377</v>
      </c>
      <c r="B227" s="68" t="s">
        <v>200</v>
      </c>
      <c r="C227" s="136">
        <f>Cr*10^-6/(C226*10^-12)*C225</f>
        <v>224.39040000000003</v>
      </c>
      <c r="D227" s="83" t="s">
        <v>163</v>
      </c>
    </row>
    <row r="228" spans="1:5" ht="18" x14ac:dyDescent="0.35">
      <c r="A228" s="82" t="s">
        <v>378</v>
      </c>
      <c r="B228" s="68" t="s">
        <v>200</v>
      </c>
      <c r="C228" s="118">
        <v>330</v>
      </c>
      <c r="D228" s="83" t="s">
        <v>163</v>
      </c>
      <c r="E228" s="12" t="s">
        <v>211</v>
      </c>
    </row>
    <row r="229" spans="1:5" ht="18" x14ac:dyDescent="0.35">
      <c r="A229" s="82" t="s">
        <v>379</v>
      </c>
      <c r="B229" s="68"/>
      <c r="C229" s="94">
        <f>C161*C228*C226*10^-12/(Cr*10^-6)</f>
        <v>3.0438434118946565</v>
      </c>
      <c r="D229" s="83" t="s">
        <v>7</v>
      </c>
    </row>
    <row r="230" spans="1:5" ht="15" x14ac:dyDescent="0.25">
      <c r="A230" s="82" t="s">
        <v>380</v>
      </c>
      <c r="B230" s="68"/>
      <c r="C230" s="94">
        <f>C221*Cr*10^-6/(C228*C226*10^-12)</f>
        <v>19.050909090909091</v>
      </c>
      <c r="D230" s="83" t="s">
        <v>10</v>
      </c>
      <c r="E230" s="106"/>
    </row>
    <row r="231" spans="1:5" ht="15.75" thickBot="1" x14ac:dyDescent="0.3">
      <c r="A231" s="84" t="s">
        <v>381</v>
      </c>
      <c r="B231" s="85"/>
      <c r="C231" s="95">
        <f>C230*Nps</f>
        <v>57.152727272727276</v>
      </c>
      <c r="D231" s="86" t="s">
        <v>10</v>
      </c>
    </row>
    <row r="232" spans="1:5" ht="15" x14ac:dyDescent="0.25">
      <c r="A232" s="66"/>
      <c r="B232" s="66"/>
      <c r="C232" s="66"/>
      <c r="D232" s="66"/>
    </row>
    <row r="233" spans="1:5" ht="15" x14ac:dyDescent="0.25">
      <c r="A233" s="66"/>
      <c r="B233" s="66"/>
      <c r="C233" s="66"/>
      <c r="D233" s="66"/>
    </row>
  </sheetData>
  <sheetProtection password="EDBD" sheet="1" objects="1" scenarios="1" selectLockedCells="1"/>
  <mergeCells count="37">
    <mergeCell ref="A205:D205"/>
    <mergeCell ref="A218:D218"/>
    <mergeCell ref="A141:D141"/>
    <mergeCell ref="A160:D160"/>
    <mergeCell ref="A180:D180"/>
    <mergeCell ref="A188:D188"/>
    <mergeCell ref="A131:D131"/>
    <mergeCell ref="A135:D135"/>
    <mergeCell ref="A127:D127"/>
    <mergeCell ref="A113:D113"/>
    <mergeCell ref="A112:D112"/>
    <mergeCell ref="A118:D118"/>
    <mergeCell ref="A1:D1"/>
    <mergeCell ref="B2:D2"/>
    <mergeCell ref="A3:D3"/>
    <mergeCell ref="C4:D4"/>
    <mergeCell ref="A5:D5"/>
    <mergeCell ref="A6:D6"/>
    <mergeCell ref="A23:D23"/>
    <mergeCell ref="A24:D24"/>
    <mergeCell ref="A7:D11"/>
    <mergeCell ref="A12:D16"/>
    <mergeCell ref="A18:D20"/>
    <mergeCell ref="A17:D17"/>
    <mergeCell ref="A30:D30"/>
    <mergeCell ref="A124:D124"/>
    <mergeCell ref="A39:D39"/>
    <mergeCell ref="A51:D51"/>
    <mergeCell ref="A60:D61"/>
    <mergeCell ref="A31:D31"/>
    <mergeCell ref="A46:D46"/>
    <mergeCell ref="A50:D50"/>
    <mergeCell ref="A52:D55"/>
    <mergeCell ref="A37:D37"/>
    <mergeCell ref="A90:D90"/>
    <mergeCell ref="A105:D105"/>
    <mergeCell ref="A109:D109"/>
  </mergeCells>
  <phoneticPr fontId="40"/>
  <dataValidations xWindow="895" yWindow="626" count="18">
    <dataValidation type="decimal" operator="greaterThan" allowBlank="1" showInputMessage="1" showErrorMessage="1" errorTitle="Nominal PFC Stage Output Voltage" error="Must be &gt; VIN_PEAK(max)" promptTitle="Nominal PFC Stage Output Voltage" prompt="Bulk output voltage of the PFC stage." sqref="C32" xr:uid="{00000000-0002-0000-0100-000000000000}">
      <formula1>Vin_peak_max</formula1>
    </dataValidation>
    <dataValidation type="decimal" errorStyle="warning" showErrorMessage="1" errorTitle="LLC Switching Frequency" error="Ideally, for size, EMI, and switching loss considertions, select a switching frequency between 100 kHz and 150 kHz " promptTitle="LLC Switching Frequency" prompt="Enter desired nominal LLC switching frequency, usually between 100 kHz and 110 kHz" sqref="C38" xr:uid="{00000000-0002-0000-0100-000001000000}">
      <formula1>100</formula1>
      <formula2>150</formula2>
    </dataValidation>
    <dataValidation type="decimal" operator="lessThanOrEqual" allowBlank="1" showErrorMessage="1" errorTitle="Maximum Vblk Ripple" error="Enter a value &lt; 20% of Vblk" promptTitle="Maximum Vblk Ripple" prompt="Enter the maximum allowable voltage ripple on the PFC output stage rail" sqref="C33" xr:uid="{00000000-0002-0000-0100-000002000000}">
      <formula1>0.1*Vblk</formula1>
    </dataValidation>
    <dataValidation type="decimal" errorStyle="warning" allowBlank="1" showErrorMessage="1" errorTitle="Actual LLC Turns Ratio" error="Actual LLC turns ratio should be within 10% of recommended value" promptTitle="LLC Transformer Turns Ratio" prompt="Enter the actual turns ratio of the LLC transformer used" sqref="C41:C43" xr:uid="{00000000-0002-0000-0100-000003000000}">
      <formula1>0.9*Nps_rec</formula1>
      <formula2>1.1*Nps_rec</formula2>
    </dataValidation>
    <dataValidation type="decimal" operator="lessThan" allowBlank="1" showErrorMessage="1" errorTitle="Minimum PFC Voltage" error="Must be less than nominal PFC output voltage" promptTitle="Minimum PFC Voltage" prompt="Enter the allowable minimum voltage of PFC at end of hold-up time" sqref="C35" xr:uid="{00000000-0002-0000-0100-000004000000}">
      <formula1>Vblk</formula1>
    </dataValidation>
    <dataValidation allowBlank="1" showErrorMessage="1" promptTitle="LLC Output Voltage" prompt="Enter required nominal output voltage of converter" sqref="C25" xr:uid="{00000000-0002-0000-0100-000005000000}"/>
    <dataValidation allowBlank="1" showErrorMessage="1" sqref="C27" xr:uid="{00000000-0002-0000-0100-000006000000}"/>
    <dataValidation allowBlank="1" showErrorMessage="1" promptTitle="Maximum Output Voltage Ripple" prompt="Enter the maximum output voltage ripple" sqref="C28" xr:uid="{00000000-0002-0000-0100-000007000000}"/>
    <dataValidation allowBlank="1" showErrorMessage="1" promptTitle="Maximum Output Power" prompt="Enter required maximum converter output power in Watts." sqref="C26" xr:uid="{00000000-0002-0000-0100-000008000000}"/>
    <dataValidation errorStyle="warning" allowBlank="1" showInputMessage="1" showErrorMessage="1" promptTitle="Ln Selected from Curves Shown" prompt="Enter Ln value to satisfy Attainable MG(PEAK) &gt; MG(max)" sqref="C56" xr:uid="{00000000-0002-0000-0100-000009000000}"/>
    <dataValidation errorStyle="warning" allowBlank="1" showInputMessage="1" showErrorMessage="1" promptTitle="Quality Factor Qe" prompt="Enter Qe value on selected Ln curve that would result in an Attainable MG(PEAK) &gt; MG(max)" sqref="C57" xr:uid="{00000000-0002-0000-0100-00000A000000}"/>
    <dataValidation type="decimal" errorStyle="warning" showErrorMessage="1" errorTitle="Cr value" error="Use a capacitor that is within 10% of the recommended value" promptTitle="Resonant Capacitor Value" prompt="Enter actual value of Resonant Capacitor used" sqref="C92" xr:uid="{00000000-0002-0000-0100-00000B000000}">
      <formula1>C91*0.9</formula1>
      <formula2>C91*1.1</formula2>
    </dataValidation>
    <dataValidation type="decimal" errorStyle="warning" allowBlank="1" showErrorMessage="1" errorTitle="Resonant Inductor Value" error="Use a Resonant Inductor value within 10% of the recommended value" promptTitle="Resonant Inductor Value" prompt="Enter the actual value of the Resonant Inductor Value used" sqref="C94" xr:uid="{00000000-0002-0000-0100-00000C000000}">
      <formula1>C93*0.9</formula1>
      <formula2>C93*1.1</formula2>
    </dataValidation>
    <dataValidation type="decimal" errorStyle="warning" allowBlank="1" showErrorMessage="1" errorTitle="Magnetizing Inductance" error="Use a magnetizing inductance that is within 10% of the recommended value" promptTitle="Magnetizing Inductance" prompt="Enter the actual Transformer Magnetizing Inductance that is used." sqref="C96" xr:uid="{00000000-0002-0000-0100-00000D000000}">
      <formula1>C95*0.9</formula1>
      <formula2>C95*1.1</formula2>
    </dataValidation>
    <dataValidation errorStyle="warning" allowBlank="1" showInputMessage="1" showErrorMessage="1" promptTitle="Normalized freq at Mg(max)" prompt="Enter the corresponding normalized frequency at Mg(max) shown on the Ln_Qe Gain curve above " sqref="C101" xr:uid="{00000000-0002-0000-0100-00000E000000}"/>
    <dataValidation errorStyle="warning" allowBlank="1" showInputMessage="1" showErrorMessage="1" promptTitle="Normalized freq at Mg(min)" prompt="Enter the corresponding normalized frequency at Mg(min) shown on the Ln_Qe Gain curve above " sqref="C102" xr:uid="{00000000-0002-0000-0100-00000F000000}"/>
    <dataValidation type="decimal" errorStyle="warning" allowBlank="1" showInputMessage="1" showErrorMessage="1" errorTitle="Max Working Voltage Range of VCR" error="To properly tune this parameter, please enter a number between 0 and 5.4_x000a_" sqref="C163" xr:uid="{00000000-0002-0000-0100-000010000000}">
      <formula1>0</formula1>
      <formula2>5.4</formula2>
    </dataValidation>
    <dataValidation type="decimal" operator="lessThan" allowBlank="1" showInputMessage="1" showErrorMessage="1" error="Enter efficiency less than 1" sqref="C29" xr:uid="{00000000-0002-0000-0100-000011000000}">
      <formula1>1</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895" yWindow="626" count="1">
        <x14:dataValidation type="list" allowBlank="1" showInputMessage="1" showErrorMessage="1" xr:uid="{00000000-0002-0000-0100-000012000000}">
          <x14:formula1>
            <xm:f>'tables and calculations'!$A$216:$A$219</xm:f>
          </x14:formula1>
          <xm:sqref>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DF777"/>
  <sheetViews>
    <sheetView zoomScale="70" zoomScaleNormal="70" workbookViewId="0">
      <pane ySplit="7" topLeftCell="A173" activePane="bottomLeft" state="frozen"/>
      <selection activeCell="W1" sqref="W1"/>
      <selection pane="bottomLeft" activeCell="B179" sqref="B179"/>
    </sheetView>
  </sheetViews>
  <sheetFormatPr defaultRowHeight="13.5" x14ac:dyDescent="0.15"/>
  <cols>
    <col min="1" max="1" width="8.5" customWidth="1"/>
    <col min="2" max="2" width="11" bestFit="1" customWidth="1"/>
    <col min="3" max="4" width="10.125" bestFit="1" customWidth="1"/>
    <col min="5" max="5" width="12.625" customWidth="1"/>
    <col min="6" max="6" width="11" bestFit="1" customWidth="1"/>
    <col min="7" max="7" width="10.125" bestFit="1" customWidth="1"/>
    <col min="8" max="8" width="10.5" bestFit="1" customWidth="1"/>
    <col min="9" max="64" width="12.625" customWidth="1"/>
  </cols>
  <sheetData>
    <row r="7" spans="2:64" x14ac:dyDescent="0.15">
      <c r="B7" s="6" t="s">
        <v>31</v>
      </c>
      <c r="C7" s="6" t="s">
        <v>129</v>
      </c>
      <c r="D7" s="6" t="s">
        <v>28</v>
      </c>
      <c r="F7" s="6" t="s">
        <v>31</v>
      </c>
      <c r="G7" s="6" t="s">
        <v>129</v>
      </c>
      <c r="H7" s="6" t="s">
        <v>28</v>
      </c>
      <c r="J7" s="6" t="s">
        <v>31</v>
      </c>
      <c r="K7" s="6" t="s">
        <v>129</v>
      </c>
      <c r="L7" s="6" t="s">
        <v>28</v>
      </c>
      <c r="N7" s="6" t="s">
        <v>31</v>
      </c>
      <c r="O7" s="6" t="s">
        <v>129</v>
      </c>
      <c r="P7" s="6" t="s">
        <v>28</v>
      </c>
      <c r="R7" s="6" t="s">
        <v>31</v>
      </c>
      <c r="S7" s="6" t="s">
        <v>129</v>
      </c>
      <c r="T7" s="6" t="s">
        <v>28</v>
      </c>
      <c r="V7" s="6" t="s">
        <v>31</v>
      </c>
      <c r="W7" s="6" t="s">
        <v>129</v>
      </c>
      <c r="X7" s="6" t="s">
        <v>28</v>
      </c>
      <c r="Z7" s="6" t="s">
        <v>31</v>
      </c>
      <c r="AA7" s="6" t="s">
        <v>129</v>
      </c>
      <c r="AB7" s="6" t="s">
        <v>28</v>
      </c>
      <c r="AD7" s="6" t="s">
        <v>31</v>
      </c>
      <c r="AE7" s="6" t="s">
        <v>129</v>
      </c>
      <c r="AF7" s="6" t="s">
        <v>28</v>
      </c>
      <c r="AH7" s="6" t="s">
        <v>31</v>
      </c>
      <c r="AI7" s="6" t="s">
        <v>129</v>
      </c>
      <c r="AJ7" s="6" t="s">
        <v>28</v>
      </c>
      <c r="AL7" s="6" t="s">
        <v>31</v>
      </c>
      <c r="AM7" s="6" t="s">
        <v>129</v>
      </c>
      <c r="AN7" s="6" t="s">
        <v>28</v>
      </c>
      <c r="AP7" s="6" t="s">
        <v>31</v>
      </c>
      <c r="AQ7" s="6" t="s">
        <v>129</v>
      </c>
      <c r="AR7" s="6" t="s">
        <v>28</v>
      </c>
      <c r="AT7" s="6" t="s">
        <v>31</v>
      </c>
      <c r="AU7" s="6" t="s">
        <v>129</v>
      </c>
      <c r="AV7" s="6" t="s">
        <v>28</v>
      </c>
      <c r="AX7" s="6" t="s">
        <v>31</v>
      </c>
      <c r="AY7" s="6" t="s">
        <v>129</v>
      </c>
      <c r="AZ7" s="6" t="s">
        <v>28</v>
      </c>
      <c r="BB7" s="6" t="s">
        <v>31</v>
      </c>
      <c r="BC7" s="6" t="s">
        <v>129</v>
      </c>
      <c r="BD7" s="6" t="s">
        <v>28</v>
      </c>
      <c r="BF7" s="6" t="s">
        <v>31</v>
      </c>
      <c r="BG7" s="6" t="s">
        <v>129</v>
      </c>
      <c r="BH7" s="6" t="s">
        <v>28</v>
      </c>
      <c r="BJ7" s="6" t="s">
        <v>31</v>
      </c>
      <c r="BK7" s="6" t="s">
        <v>129</v>
      </c>
      <c r="BL7" s="6" t="s">
        <v>28</v>
      </c>
    </row>
    <row r="8" spans="2:64" x14ac:dyDescent="0.15">
      <c r="B8" s="21">
        <v>6.95</v>
      </c>
      <c r="C8" s="21">
        <v>0.15</v>
      </c>
      <c r="D8" s="21">
        <v>1.5</v>
      </c>
      <c r="E8" s="16"/>
      <c r="F8" s="21">
        <v>5.81</v>
      </c>
      <c r="G8" s="21">
        <v>0.15</v>
      </c>
      <c r="H8" s="21">
        <v>2</v>
      </c>
      <c r="I8" s="16"/>
      <c r="J8" s="21">
        <v>5.03</v>
      </c>
      <c r="K8" s="21">
        <v>0.15</v>
      </c>
      <c r="L8" s="21">
        <v>2.5</v>
      </c>
      <c r="M8" s="16"/>
      <c r="N8" s="21">
        <v>4.47</v>
      </c>
      <c r="O8" s="21">
        <v>0.15</v>
      </c>
      <c r="P8" s="21">
        <v>3</v>
      </c>
      <c r="Q8" s="16"/>
      <c r="R8" s="21">
        <v>4.09</v>
      </c>
      <c r="S8" s="21">
        <v>0.15</v>
      </c>
      <c r="T8" s="21">
        <v>3.5</v>
      </c>
      <c r="U8" s="16"/>
      <c r="V8" s="21">
        <v>3.76</v>
      </c>
      <c r="W8" s="21">
        <v>0.15</v>
      </c>
      <c r="X8" s="21">
        <v>4</v>
      </c>
      <c r="Y8" s="16"/>
      <c r="Z8" s="21">
        <v>3.51</v>
      </c>
      <c r="AA8" s="21">
        <v>0.15</v>
      </c>
      <c r="AB8" s="21">
        <v>4.5</v>
      </c>
      <c r="AC8" s="16"/>
      <c r="AD8" s="21">
        <v>3.32</v>
      </c>
      <c r="AE8" s="21">
        <v>0.15</v>
      </c>
      <c r="AF8" s="21">
        <v>5</v>
      </c>
      <c r="AG8" s="16"/>
      <c r="AH8" s="21">
        <v>3.14</v>
      </c>
      <c r="AI8" s="21">
        <v>0.15</v>
      </c>
      <c r="AJ8" s="21">
        <v>5.5</v>
      </c>
      <c r="AK8" s="16"/>
      <c r="AL8" s="21">
        <v>3</v>
      </c>
      <c r="AM8" s="21">
        <v>0.15</v>
      </c>
      <c r="AN8" s="21">
        <v>6</v>
      </c>
      <c r="AO8" s="16"/>
      <c r="AP8" s="21">
        <v>2.86</v>
      </c>
      <c r="AQ8" s="21">
        <v>0.15</v>
      </c>
      <c r="AR8" s="21">
        <v>6.5</v>
      </c>
      <c r="AS8" s="16"/>
      <c r="AT8" s="21">
        <v>2.75</v>
      </c>
      <c r="AU8" s="21">
        <v>0.15</v>
      </c>
      <c r="AV8" s="21">
        <v>7</v>
      </c>
      <c r="AW8" s="16"/>
      <c r="AX8" s="21">
        <v>2.65</v>
      </c>
      <c r="AY8" s="21">
        <v>0.15</v>
      </c>
      <c r="AZ8" s="21">
        <v>7.5</v>
      </c>
      <c r="BA8" s="16"/>
      <c r="BB8" s="21">
        <v>2.56</v>
      </c>
      <c r="BC8" s="21">
        <v>0.15</v>
      </c>
      <c r="BD8" s="21">
        <v>8</v>
      </c>
      <c r="BE8" s="16"/>
      <c r="BF8" s="21">
        <v>2.48</v>
      </c>
      <c r="BG8" s="21">
        <v>0.15</v>
      </c>
      <c r="BH8" s="21">
        <v>8.5</v>
      </c>
      <c r="BI8" s="16"/>
      <c r="BJ8" s="21">
        <v>2.41</v>
      </c>
      <c r="BK8" s="21">
        <v>0.15</v>
      </c>
      <c r="BL8" s="21">
        <v>9</v>
      </c>
    </row>
    <row r="9" spans="2:64" x14ac:dyDescent="0.15">
      <c r="B9" s="21">
        <v>4.28</v>
      </c>
      <c r="C9" s="21">
        <v>0.25</v>
      </c>
      <c r="D9" s="21">
        <v>1.5</v>
      </c>
      <c r="E9" s="16"/>
      <c r="F9" s="21">
        <v>3.53</v>
      </c>
      <c r="G9" s="21">
        <v>0.25</v>
      </c>
      <c r="H9" s="21">
        <v>2</v>
      </c>
      <c r="I9" s="16"/>
      <c r="J9" s="21">
        <v>3.06</v>
      </c>
      <c r="K9" s="21">
        <v>0.25</v>
      </c>
      <c r="L9" s="21">
        <v>2.5</v>
      </c>
      <c r="M9" s="16"/>
      <c r="N9" s="21">
        <v>2.74</v>
      </c>
      <c r="O9" s="21">
        <v>0.25</v>
      </c>
      <c r="P9" s="21">
        <v>3</v>
      </c>
      <c r="Q9" s="16"/>
      <c r="R9" s="21">
        <v>2.5</v>
      </c>
      <c r="S9" s="21">
        <v>0.25</v>
      </c>
      <c r="T9" s="21">
        <v>3.5</v>
      </c>
      <c r="U9" s="16"/>
      <c r="V9" s="21">
        <v>2.3199999999999998</v>
      </c>
      <c r="W9" s="21">
        <v>0.25</v>
      </c>
      <c r="X9" s="21">
        <v>4</v>
      </c>
      <c r="Y9" s="16"/>
      <c r="Z9" s="21">
        <v>2.17</v>
      </c>
      <c r="AA9" s="21">
        <v>0.25</v>
      </c>
      <c r="AB9" s="21">
        <v>4.5</v>
      </c>
      <c r="AC9" s="16"/>
      <c r="AD9" s="21">
        <v>2.0499999999999998</v>
      </c>
      <c r="AE9" s="21">
        <v>0.25</v>
      </c>
      <c r="AF9" s="21">
        <v>5</v>
      </c>
      <c r="AG9" s="16"/>
      <c r="AH9" s="21">
        <v>1.95</v>
      </c>
      <c r="AI9" s="21">
        <v>0.25</v>
      </c>
      <c r="AJ9" s="21">
        <v>5.5</v>
      </c>
      <c r="AK9" s="16"/>
      <c r="AL9" s="21">
        <v>1.86</v>
      </c>
      <c r="AM9" s="21">
        <v>0.25</v>
      </c>
      <c r="AN9" s="21">
        <v>6</v>
      </c>
      <c r="AO9" s="16"/>
      <c r="AP9" s="21">
        <v>1.79</v>
      </c>
      <c r="AQ9" s="21">
        <v>0.25</v>
      </c>
      <c r="AR9" s="21">
        <v>6.5</v>
      </c>
      <c r="AS9" s="16"/>
      <c r="AT9" s="21">
        <v>1.72</v>
      </c>
      <c r="AU9" s="21">
        <v>0.25</v>
      </c>
      <c r="AV9" s="21">
        <v>7</v>
      </c>
      <c r="AW9" s="16"/>
      <c r="AX9" s="21">
        <v>1.66</v>
      </c>
      <c r="AY9" s="21">
        <v>0.25</v>
      </c>
      <c r="AZ9" s="21">
        <v>7.5</v>
      </c>
      <c r="BA9" s="16"/>
      <c r="BB9" s="21">
        <v>1.61</v>
      </c>
      <c r="BC9" s="21">
        <v>0.25</v>
      </c>
      <c r="BD9" s="21">
        <v>8</v>
      </c>
      <c r="BE9" s="16"/>
      <c r="BF9" s="21">
        <v>1.57</v>
      </c>
      <c r="BG9" s="21">
        <v>0.25</v>
      </c>
      <c r="BH9" s="21">
        <v>8.5</v>
      </c>
      <c r="BI9" s="16"/>
      <c r="BJ9" s="21">
        <v>1.53</v>
      </c>
      <c r="BK9" s="21">
        <v>0.25</v>
      </c>
      <c r="BL9" s="21">
        <v>9</v>
      </c>
    </row>
    <row r="10" spans="2:64" x14ac:dyDescent="0.15">
      <c r="B10" s="21">
        <v>3.09</v>
      </c>
      <c r="C10" s="21">
        <v>0.35</v>
      </c>
      <c r="D10" s="21">
        <v>1.5</v>
      </c>
      <c r="E10" s="16"/>
      <c r="F10" s="21">
        <v>2.57</v>
      </c>
      <c r="G10" s="21">
        <v>0.35</v>
      </c>
      <c r="H10" s="21">
        <v>2</v>
      </c>
      <c r="I10" s="16"/>
      <c r="J10" s="21">
        <v>2.2400000000000002</v>
      </c>
      <c r="K10" s="21">
        <v>0.35</v>
      </c>
      <c r="L10" s="21">
        <v>2.5</v>
      </c>
      <c r="M10" s="16"/>
      <c r="N10" s="21">
        <v>2.0099999999999998</v>
      </c>
      <c r="O10" s="21">
        <v>0.35</v>
      </c>
      <c r="P10" s="21">
        <v>3</v>
      </c>
      <c r="Q10" s="16"/>
      <c r="R10" s="21">
        <v>1.85</v>
      </c>
      <c r="S10" s="21">
        <v>0.35</v>
      </c>
      <c r="T10" s="21">
        <v>3.5</v>
      </c>
      <c r="U10" s="16"/>
      <c r="V10" s="21">
        <v>1.72</v>
      </c>
      <c r="W10" s="21">
        <v>0.35</v>
      </c>
      <c r="X10" s="21">
        <v>4</v>
      </c>
      <c r="Y10" s="16"/>
      <c r="Z10" s="21">
        <v>1.62</v>
      </c>
      <c r="AA10" s="21">
        <v>0.35</v>
      </c>
      <c r="AB10" s="21">
        <v>4.5</v>
      </c>
      <c r="AC10" s="16"/>
      <c r="AD10" s="21">
        <v>1.54</v>
      </c>
      <c r="AE10" s="21">
        <v>0.35</v>
      </c>
      <c r="AF10" s="21">
        <v>5</v>
      </c>
      <c r="AG10" s="16"/>
      <c r="AH10" s="21">
        <v>1.47</v>
      </c>
      <c r="AI10" s="21">
        <v>0.35</v>
      </c>
      <c r="AJ10" s="21">
        <v>5.5</v>
      </c>
      <c r="AK10" s="16"/>
      <c r="AL10" s="21">
        <v>1.41</v>
      </c>
      <c r="AM10" s="21">
        <v>0.35</v>
      </c>
      <c r="AN10" s="21">
        <v>6</v>
      </c>
      <c r="AO10" s="16"/>
      <c r="AP10" s="21">
        <v>1.36</v>
      </c>
      <c r="AQ10" s="21">
        <v>0.35</v>
      </c>
      <c r="AR10" s="21">
        <v>6.5</v>
      </c>
      <c r="AS10" s="16"/>
      <c r="AT10" s="21">
        <v>1.32</v>
      </c>
      <c r="AU10" s="21">
        <v>0.35</v>
      </c>
      <c r="AV10" s="21">
        <v>7</v>
      </c>
      <c r="AW10" s="16"/>
      <c r="AX10" s="21">
        <v>1.28</v>
      </c>
      <c r="AY10" s="21">
        <v>0.35</v>
      </c>
      <c r="AZ10" s="21">
        <v>7.5</v>
      </c>
      <c r="BA10" s="16"/>
      <c r="BB10" s="21">
        <v>1.25</v>
      </c>
      <c r="BC10" s="21">
        <v>0.35</v>
      </c>
      <c r="BD10" s="21">
        <v>8</v>
      </c>
      <c r="BE10" s="16"/>
      <c r="BF10" s="21">
        <v>1.22</v>
      </c>
      <c r="BG10" s="21">
        <v>0.35</v>
      </c>
      <c r="BH10" s="21">
        <v>8.5</v>
      </c>
      <c r="BI10" s="16"/>
      <c r="BJ10" s="21">
        <v>1.2</v>
      </c>
      <c r="BK10" s="21">
        <v>0.35</v>
      </c>
      <c r="BL10" s="21">
        <v>9</v>
      </c>
    </row>
    <row r="11" spans="2:64" x14ac:dyDescent="0.15">
      <c r="B11" s="21">
        <v>2.4500000000000002</v>
      </c>
      <c r="C11" s="21">
        <v>0.45</v>
      </c>
      <c r="D11" s="21">
        <v>1.5</v>
      </c>
      <c r="E11" s="16"/>
      <c r="F11" s="21">
        <v>2.0499999999999998</v>
      </c>
      <c r="G11" s="21">
        <v>0.45</v>
      </c>
      <c r="H11" s="21">
        <v>2</v>
      </c>
      <c r="I11" s="16"/>
      <c r="J11" s="21">
        <v>1.8</v>
      </c>
      <c r="K11" s="21">
        <v>0.45</v>
      </c>
      <c r="L11" s="21">
        <v>2.5</v>
      </c>
      <c r="M11" s="16"/>
      <c r="N11" s="21">
        <v>1.63</v>
      </c>
      <c r="O11" s="21">
        <v>0.45</v>
      </c>
      <c r="P11" s="21">
        <v>3</v>
      </c>
      <c r="Q11" s="16"/>
      <c r="R11" s="21">
        <v>1.5</v>
      </c>
      <c r="S11" s="21">
        <v>0.45</v>
      </c>
      <c r="T11" s="21">
        <v>3.5</v>
      </c>
      <c r="U11" s="16"/>
      <c r="V11" s="21">
        <v>1.41</v>
      </c>
      <c r="W11" s="21">
        <v>0.45</v>
      </c>
      <c r="X11" s="21">
        <v>4</v>
      </c>
      <c r="Y11" s="16"/>
      <c r="Z11" s="21">
        <v>1.34</v>
      </c>
      <c r="AA11" s="21">
        <v>0.45</v>
      </c>
      <c r="AB11" s="21">
        <v>4.5</v>
      </c>
      <c r="AC11" s="16"/>
      <c r="AD11" s="21">
        <v>1.28</v>
      </c>
      <c r="AE11" s="21">
        <v>0.45</v>
      </c>
      <c r="AF11" s="21">
        <v>5</v>
      </c>
      <c r="AG11" s="16"/>
      <c r="AH11" s="21">
        <v>1.23</v>
      </c>
      <c r="AI11" s="21">
        <v>0.45</v>
      </c>
      <c r="AJ11" s="21">
        <v>5.5</v>
      </c>
      <c r="AK11" s="16"/>
      <c r="AL11" s="21">
        <v>1.19</v>
      </c>
      <c r="AM11" s="21">
        <v>0.45</v>
      </c>
      <c r="AN11" s="21">
        <v>6</v>
      </c>
      <c r="AO11" s="16"/>
      <c r="AP11" s="21">
        <v>1.1599999999999999</v>
      </c>
      <c r="AQ11" s="21">
        <v>0.45</v>
      </c>
      <c r="AR11" s="21">
        <v>6.5</v>
      </c>
      <c r="AS11" s="16"/>
      <c r="AT11" s="21">
        <v>1.1399999999999999</v>
      </c>
      <c r="AU11" s="21">
        <v>0.45</v>
      </c>
      <c r="AV11" s="21">
        <v>7</v>
      </c>
      <c r="AW11" s="16"/>
      <c r="AX11" s="21">
        <v>1.1100000000000001</v>
      </c>
      <c r="AY11" s="21">
        <v>0.45</v>
      </c>
      <c r="AZ11" s="21">
        <v>7.5</v>
      </c>
      <c r="BA11" s="16"/>
      <c r="BB11" s="21">
        <v>1.1000000000000001</v>
      </c>
      <c r="BC11" s="21">
        <v>0.45</v>
      </c>
      <c r="BD11" s="21">
        <v>8</v>
      </c>
      <c r="BE11" s="16"/>
      <c r="BF11" s="21">
        <v>1.08</v>
      </c>
      <c r="BG11" s="21">
        <v>0.45</v>
      </c>
      <c r="BH11" s="21">
        <v>8.5</v>
      </c>
      <c r="BI11" s="16"/>
      <c r="BJ11" s="21">
        <v>1.07</v>
      </c>
      <c r="BK11" s="21">
        <v>0.45</v>
      </c>
      <c r="BL11" s="21">
        <v>9</v>
      </c>
    </row>
    <row r="12" spans="2:64" x14ac:dyDescent="0.15">
      <c r="B12" s="21">
        <v>2.0499999999999998</v>
      </c>
      <c r="C12" s="21">
        <v>0.55000000000000004</v>
      </c>
      <c r="D12" s="21">
        <v>1.5</v>
      </c>
      <c r="E12" s="16"/>
      <c r="F12" s="21">
        <v>1.73</v>
      </c>
      <c r="G12" s="21">
        <v>0.55000000000000004</v>
      </c>
      <c r="H12" s="21">
        <v>2</v>
      </c>
      <c r="I12" s="16"/>
      <c r="J12" s="21">
        <v>1.53</v>
      </c>
      <c r="K12" s="21">
        <v>0.55000000000000004</v>
      </c>
      <c r="L12" s="21">
        <v>2.5</v>
      </c>
      <c r="M12" s="16"/>
      <c r="N12" s="21">
        <v>1.4</v>
      </c>
      <c r="O12" s="21">
        <v>0.55000000000000004</v>
      </c>
      <c r="P12" s="21">
        <v>3</v>
      </c>
      <c r="Q12" s="16"/>
      <c r="R12" s="21">
        <v>1.31</v>
      </c>
      <c r="S12" s="21">
        <v>0.55000000000000004</v>
      </c>
      <c r="T12" s="21">
        <v>3.5</v>
      </c>
      <c r="U12" s="16"/>
      <c r="V12" s="21">
        <v>1.24</v>
      </c>
      <c r="W12" s="21">
        <v>0.55000000000000004</v>
      </c>
      <c r="X12" s="21">
        <v>4</v>
      </c>
      <c r="Y12" s="16"/>
      <c r="Z12" s="21">
        <v>1.19</v>
      </c>
      <c r="AA12" s="21">
        <v>0.55000000000000004</v>
      </c>
      <c r="AB12" s="21">
        <v>4.5</v>
      </c>
      <c r="AC12" s="16"/>
      <c r="AD12" s="21">
        <v>1.1499999999999999</v>
      </c>
      <c r="AE12" s="21">
        <v>0.55000000000000004</v>
      </c>
      <c r="AF12" s="21">
        <v>5</v>
      </c>
      <c r="AG12" s="16"/>
      <c r="AH12" s="21">
        <v>1.1200000000000001</v>
      </c>
      <c r="AI12" s="21">
        <v>0.55000000000000004</v>
      </c>
      <c r="AJ12" s="21">
        <v>5.5</v>
      </c>
      <c r="AK12" s="16"/>
      <c r="AL12" s="21">
        <v>1.0900000000000001</v>
      </c>
      <c r="AM12" s="21">
        <v>0.55000000000000004</v>
      </c>
      <c r="AN12" s="21">
        <v>6</v>
      </c>
      <c r="AO12" s="16"/>
      <c r="AP12" s="21">
        <v>1.08</v>
      </c>
      <c r="AQ12" s="21">
        <v>0.55000000000000004</v>
      </c>
      <c r="AR12" s="21">
        <v>6.5</v>
      </c>
      <c r="AS12" s="16"/>
      <c r="AT12" s="21">
        <v>1.06</v>
      </c>
      <c r="AU12" s="21">
        <v>0.55000000000000004</v>
      </c>
      <c r="AV12" s="21">
        <v>7</v>
      </c>
      <c r="AW12" s="16"/>
      <c r="AX12" s="21">
        <v>1.05</v>
      </c>
      <c r="AY12" s="21">
        <v>0.55000000000000004</v>
      </c>
      <c r="AZ12" s="21">
        <v>7.5</v>
      </c>
      <c r="BA12" s="16"/>
      <c r="BB12" s="21">
        <v>1.04</v>
      </c>
      <c r="BC12" s="21">
        <v>0.55000000000000004</v>
      </c>
      <c r="BD12" s="21">
        <v>8</v>
      </c>
      <c r="BE12" s="16"/>
      <c r="BF12" s="21">
        <v>1.04</v>
      </c>
      <c r="BG12" s="21">
        <v>0.55000000000000004</v>
      </c>
      <c r="BH12" s="21">
        <v>8.5</v>
      </c>
      <c r="BI12" s="16"/>
      <c r="BJ12" s="21">
        <v>1.03</v>
      </c>
      <c r="BK12" s="21">
        <v>0.55000000000000004</v>
      </c>
      <c r="BL12" s="21">
        <v>9</v>
      </c>
    </row>
    <row r="13" spans="2:64" x14ac:dyDescent="0.15">
      <c r="B13" s="21">
        <v>1.78</v>
      </c>
      <c r="C13" s="21">
        <v>0.65</v>
      </c>
      <c r="D13" s="21">
        <v>1.5</v>
      </c>
      <c r="E13" s="16"/>
      <c r="F13" s="21">
        <v>1.52</v>
      </c>
      <c r="G13" s="21">
        <v>0.65</v>
      </c>
      <c r="H13" s="21">
        <v>2</v>
      </c>
      <c r="I13" s="16"/>
      <c r="J13" s="21">
        <v>1.36</v>
      </c>
      <c r="K13" s="21">
        <v>0.65</v>
      </c>
      <c r="L13" s="21">
        <v>2.5</v>
      </c>
      <c r="M13" s="16"/>
      <c r="N13" s="21">
        <v>1.26</v>
      </c>
      <c r="O13" s="21">
        <v>0.65</v>
      </c>
      <c r="P13" s="21">
        <v>3</v>
      </c>
      <c r="Q13" s="16"/>
      <c r="R13" s="21">
        <v>1.19</v>
      </c>
      <c r="S13" s="21">
        <v>0.65</v>
      </c>
      <c r="T13" s="21">
        <v>3.5</v>
      </c>
      <c r="U13" s="16"/>
      <c r="V13" s="21">
        <v>1.1399999999999999</v>
      </c>
      <c r="W13" s="21">
        <v>0.65</v>
      </c>
      <c r="X13" s="21">
        <v>4</v>
      </c>
      <c r="Y13" s="16"/>
      <c r="Z13" s="21">
        <v>1.1100000000000001</v>
      </c>
      <c r="AA13" s="21">
        <v>0.65</v>
      </c>
      <c r="AB13" s="21">
        <v>4.5</v>
      </c>
      <c r="AC13" s="16"/>
      <c r="AD13" s="21">
        <v>1.08</v>
      </c>
      <c r="AE13" s="21">
        <v>0.65</v>
      </c>
      <c r="AF13" s="21">
        <v>5</v>
      </c>
      <c r="AG13" s="16"/>
      <c r="AH13" s="21">
        <v>1.07</v>
      </c>
      <c r="AI13" s="21">
        <v>0.65</v>
      </c>
      <c r="AJ13" s="21">
        <v>5.5</v>
      </c>
      <c r="AK13" s="16"/>
      <c r="AL13" s="21">
        <v>1.05</v>
      </c>
      <c r="AM13" s="21">
        <v>0.65</v>
      </c>
      <c r="AN13" s="21">
        <v>6</v>
      </c>
      <c r="AO13" s="16"/>
      <c r="AP13" s="21">
        <v>1.04</v>
      </c>
      <c r="AQ13" s="21">
        <v>0.65</v>
      </c>
      <c r="AR13" s="21">
        <v>6.5</v>
      </c>
      <c r="AS13" s="16"/>
      <c r="AT13" s="21">
        <v>1.04</v>
      </c>
      <c r="AU13" s="21">
        <v>0.65</v>
      </c>
      <c r="AV13" s="21">
        <v>7</v>
      </c>
      <c r="AW13" s="16"/>
      <c r="AX13" s="21">
        <v>1.03</v>
      </c>
      <c r="AY13" s="21">
        <v>0.65</v>
      </c>
      <c r="AZ13" s="21">
        <v>7.5</v>
      </c>
      <c r="BA13" s="16"/>
      <c r="BB13" s="21">
        <v>1.03</v>
      </c>
      <c r="BC13" s="21">
        <v>0.65</v>
      </c>
      <c r="BD13" s="21">
        <v>8</v>
      </c>
      <c r="BE13" s="16"/>
      <c r="BF13" s="21">
        <v>1.02</v>
      </c>
      <c r="BG13" s="21">
        <v>0.65</v>
      </c>
      <c r="BH13" s="21">
        <v>8.5</v>
      </c>
      <c r="BI13" s="16"/>
      <c r="BJ13" s="21">
        <v>1.02</v>
      </c>
      <c r="BK13" s="21">
        <v>0.65</v>
      </c>
      <c r="BL13" s="21">
        <v>9</v>
      </c>
    </row>
    <row r="14" spans="2:64" x14ac:dyDescent="0.15">
      <c r="B14" s="21">
        <v>1.6</v>
      </c>
      <c r="C14" s="21">
        <v>0.75</v>
      </c>
      <c r="D14" s="21">
        <v>1.5</v>
      </c>
      <c r="E14" s="16"/>
      <c r="F14" s="21">
        <v>1.38</v>
      </c>
      <c r="G14" s="21">
        <v>0.75</v>
      </c>
      <c r="H14" s="21">
        <v>2</v>
      </c>
      <c r="I14" s="16"/>
      <c r="J14" s="21">
        <v>1.25</v>
      </c>
      <c r="K14" s="21">
        <v>0.75</v>
      </c>
      <c r="L14" s="21">
        <v>2.5</v>
      </c>
      <c r="M14" s="16"/>
      <c r="N14" s="21">
        <v>1.17</v>
      </c>
      <c r="O14" s="21">
        <v>0.75</v>
      </c>
      <c r="P14" s="21">
        <v>3</v>
      </c>
      <c r="Q14" s="16"/>
      <c r="R14" s="21">
        <v>1.1200000000000001</v>
      </c>
      <c r="S14" s="21">
        <v>0.75</v>
      </c>
      <c r="T14" s="21">
        <v>3.5</v>
      </c>
      <c r="U14" s="16"/>
      <c r="V14" s="21">
        <v>1.0900000000000001</v>
      </c>
      <c r="W14" s="21">
        <v>0.75</v>
      </c>
      <c r="X14" s="21">
        <v>4</v>
      </c>
      <c r="Y14" s="16"/>
      <c r="Z14" s="21">
        <v>1.07</v>
      </c>
      <c r="AA14" s="21">
        <v>0.75</v>
      </c>
      <c r="AB14" s="21">
        <v>4.5</v>
      </c>
      <c r="AC14" s="16"/>
      <c r="AD14" s="21">
        <v>1.05</v>
      </c>
      <c r="AE14" s="21">
        <v>0.75</v>
      </c>
      <c r="AF14" s="21">
        <v>5</v>
      </c>
      <c r="AG14" s="16"/>
      <c r="AH14" s="21">
        <v>1.04</v>
      </c>
      <c r="AI14" s="21">
        <v>0.75</v>
      </c>
      <c r="AJ14" s="21">
        <v>5.5</v>
      </c>
      <c r="AK14" s="16"/>
      <c r="AL14" s="21">
        <v>1.03</v>
      </c>
      <c r="AM14" s="21">
        <v>0.75</v>
      </c>
      <c r="AN14" s="21">
        <v>6</v>
      </c>
      <c r="AO14" s="16"/>
      <c r="AP14" s="21">
        <v>1.03</v>
      </c>
      <c r="AQ14" s="21">
        <v>0.75</v>
      </c>
      <c r="AR14" s="21">
        <v>6.5</v>
      </c>
      <c r="AS14" s="16"/>
      <c r="AT14" s="21">
        <v>1.02</v>
      </c>
      <c r="AU14" s="21">
        <v>0.75</v>
      </c>
      <c r="AV14" s="21">
        <v>7</v>
      </c>
      <c r="AW14" s="16"/>
      <c r="AX14" s="21">
        <v>1.02</v>
      </c>
      <c r="AY14" s="21">
        <v>0.75</v>
      </c>
      <c r="AZ14" s="21">
        <v>7.5</v>
      </c>
      <c r="BA14" s="16"/>
      <c r="BB14" s="21">
        <v>1.02</v>
      </c>
      <c r="BC14" s="21">
        <v>0.75</v>
      </c>
      <c r="BD14" s="21">
        <v>8</v>
      </c>
      <c r="BE14" s="16"/>
      <c r="BF14" s="21">
        <v>1.02</v>
      </c>
      <c r="BG14" s="21">
        <v>0.75</v>
      </c>
      <c r="BH14" s="21">
        <v>8.5</v>
      </c>
      <c r="BI14" s="16"/>
      <c r="BJ14" s="21">
        <v>1.01</v>
      </c>
      <c r="BK14" s="21">
        <v>0.75</v>
      </c>
      <c r="BL14" s="21">
        <v>9</v>
      </c>
    </row>
    <row r="15" spans="2:64" x14ac:dyDescent="0.15">
      <c r="B15" s="21">
        <v>1.46</v>
      </c>
      <c r="C15" s="21">
        <v>0.85</v>
      </c>
      <c r="D15" s="21">
        <v>1.5</v>
      </c>
      <c r="E15" s="16"/>
      <c r="F15" s="21">
        <v>1.28</v>
      </c>
      <c r="G15" s="21">
        <v>0.85</v>
      </c>
      <c r="H15" s="21">
        <v>2</v>
      </c>
      <c r="I15" s="16"/>
      <c r="J15" s="21">
        <v>1.18</v>
      </c>
      <c r="K15" s="21">
        <v>0.85</v>
      </c>
      <c r="L15" s="21">
        <v>2.5</v>
      </c>
      <c r="M15" s="16"/>
      <c r="N15" s="21">
        <v>1.1200000000000001</v>
      </c>
      <c r="O15" s="21">
        <v>0.85</v>
      </c>
      <c r="P15" s="21">
        <v>3</v>
      </c>
      <c r="Q15" s="16"/>
      <c r="R15" s="21">
        <v>1.0900000000000001</v>
      </c>
      <c r="S15" s="21">
        <v>0.85</v>
      </c>
      <c r="T15" s="21">
        <v>3.5</v>
      </c>
      <c r="U15" s="16"/>
      <c r="V15" s="21">
        <v>1.06</v>
      </c>
      <c r="W15" s="21">
        <v>0.85</v>
      </c>
      <c r="X15" s="21">
        <v>4</v>
      </c>
      <c r="Y15" s="16"/>
      <c r="Z15" s="21">
        <v>1.05</v>
      </c>
      <c r="AA15" s="21">
        <v>0.85</v>
      </c>
      <c r="AB15" s="21">
        <v>4.5</v>
      </c>
      <c r="AC15" s="16"/>
      <c r="AD15" s="21">
        <v>1.04</v>
      </c>
      <c r="AE15" s="21">
        <v>0.85</v>
      </c>
      <c r="AF15" s="21">
        <v>5</v>
      </c>
      <c r="AG15" s="16"/>
      <c r="AH15" s="21">
        <v>1.03</v>
      </c>
      <c r="AI15" s="21">
        <v>0.85</v>
      </c>
      <c r="AJ15" s="21">
        <v>5.5</v>
      </c>
      <c r="AK15" s="16"/>
      <c r="AL15" s="21">
        <v>1.02</v>
      </c>
      <c r="AM15" s="21">
        <v>0.85</v>
      </c>
      <c r="AN15" s="21">
        <v>6</v>
      </c>
      <c r="AO15" s="16"/>
      <c r="AP15" s="21">
        <v>1.02</v>
      </c>
      <c r="AQ15" s="21">
        <v>0.85</v>
      </c>
      <c r="AR15" s="21">
        <v>6.5</v>
      </c>
      <c r="AS15" s="16"/>
      <c r="AT15" s="21">
        <v>1.02</v>
      </c>
      <c r="AU15" s="21">
        <v>0.85</v>
      </c>
      <c r="AV15" s="21">
        <v>7</v>
      </c>
      <c r="AW15" s="16"/>
      <c r="AX15" s="21">
        <v>1.02</v>
      </c>
      <c r="AY15" s="21">
        <v>0.85</v>
      </c>
      <c r="AZ15" s="21">
        <v>7.5</v>
      </c>
      <c r="BA15" s="16"/>
      <c r="BB15" s="21">
        <v>1.01</v>
      </c>
      <c r="BC15" s="21">
        <v>0.85</v>
      </c>
      <c r="BD15" s="21">
        <v>8</v>
      </c>
      <c r="BE15" s="16"/>
      <c r="BF15" s="21">
        <v>1.01</v>
      </c>
      <c r="BG15" s="21">
        <v>0.85</v>
      </c>
      <c r="BH15" s="21">
        <v>8.5</v>
      </c>
      <c r="BI15" s="16"/>
      <c r="BJ15" s="21">
        <v>1.01</v>
      </c>
      <c r="BK15" s="21">
        <v>0.85</v>
      </c>
      <c r="BL15" s="21">
        <v>9</v>
      </c>
    </row>
    <row r="16" spans="2:64" x14ac:dyDescent="0.15">
      <c r="B16" s="21">
        <v>1.36</v>
      </c>
      <c r="C16" s="21">
        <v>0.95</v>
      </c>
      <c r="D16" s="21">
        <v>1.5</v>
      </c>
      <c r="E16" s="16"/>
      <c r="F16" s="21">
        <v>1.21</v>
      </c>
      <c r="G16" s="21">
        <v>0.95</v>
      </c>
      <c r="H16" s="21">
        <v>2</v>
      </c>
      <c r="I16" s="16"/>
      <c r="J16" s="21">
        <v>1.1299999999999999</v>
      </c>
      <c r="K16" s="21">
        <v>0.95</v>
      </c>
      <c r="L16" s="21">
        <v>2.5</v>
      </c>
      <c r="M16" s="16"/>
      <c r="N16" s="21">
        <v>1.0900000000000001</v>
      </c>
      <c r="O16" s="21">
        <v>0.95</v>
      </c>
      <c r="P16" s="21">
        <v>3</v>
      </c>
      <c r="Q16" s="16"/>
      <c r="R16" s="21">
        <v>1.06</v>
      </c>
      <c r="S16" s="21">
        <v>0.95</v>
      </c>
      <c r="T16" s="21">
        <v>3.5</v>
      </c>
      <c r="U16" s="16"/>
      <c r="V16" s="21">
        <v>1.05</v>
      </c>
      <c r="W16" s="21">
        <v>0.95</v>
      </c>
      <c r="X16" s="21">
        <v>4</v>
      </c>
      <c r="Y16" s="16"/>
      <c r="Z16" s="21">
        <v>1.04</v>
      </c>
      <c r="AA16" s="21">
        <v>0.95</v>
      </c>
      <c r="AB16" s="21">
        <v>4.5</v>
      </c>
      <c r="AC16" s="16"/>
      <c r="AD16" s="21">
        <v>1.03</v>
      </c>
      <c r="AE16" s="21">
        <v>0.95</v>
      </c>
      <c r="AF16" s="21">
        <v>5</v>
      </c>
      <c r="AG16" s="16"/>
      <c r="AH16" s="21">
        <v>1.02</v>
      </c>
      <c r="AI16" s="21">
        <v>0.95</v>
      </c>
      <c r="AJ16" s="21">
        <v>5.5</v>
      </c>
      <c r="AK16" s="16"/>
      <c r="AL16" s="21">
        <v>1.02</v>
      </c>
      <c r="AM16" s="21">
        <v>0.95</v>
      </c>
      <c r="AN16" s="21">
        <v>6</v>
      </c>
      <c r="AO16" s="16"/>
      <c r="AP16" s="21">
        <v>1.02</v>
      </c>
      <c r="AQ16" s="21">
        <v>0.95</v>
      </c>
      <c r="AR16" s="21">
        <v>6.5</v>
      </c>
      <c r="AS16" s="16"/>
      <c r="AT16" s="21">
        <v>1.01</v>
      </c>
      <c r="AU16" s="21">
        <v>0.95</v>
      </c>
      <c r="AV16" s="21">
        <v>7</v>
      </c>
      <c r="AW16" s="16"/>
      <c r="AX16" s="21">
        <v>1.01</v>
      </c>
      <c r="AY16" s="21">
        <v>0.95</v>
      </c>
      <c r="AZ16" s="21">
        <v>7.5</v>
      </c>
      <c r="BA16" s="16"/>
      <c r="BB16" s="21">
        <v>1.01</v>
      </c>
      <c r="BC16" s="21">
        <v>0.95</v>
      </c>
      <c r="BD16" s="21">
        <v>8</v>
      </c>
      <c r="BE16" s="16"/>
      <c r="BF16" s="21">
        <v>1.01</v>
      </c>
      <c r="BG16" s="21">
        <v>0.95</v>
      </c>
      <c r="BH16" s="21">
        <v>8.5</v>
      </c>
      <c r="BI16" s="16"/>
      <c r="BJ16" s="21">
        <v>1.01</v>
      </c>
      <c r="BK16" s="21">
        <v>0.95</v>
      </c>
      <c r="BL16" s="21">
        <v>9</v>
      </c>
    </row>
    <row r="17" spans="2:80" x14ac:dyDescent="0.15">
      <c r="B17" s="21">
        <v>1.29</v>
      </c>
      <c r="C17" s="21">
        <v>1.05</v>
      </c>
      <c r="D17" s="21">
        <v>1.5</v>
      </c>
      <c r="E17" s="16"/>
      <c r="F17" s="21">
        <v>1.1599999999999999</v>
      </c>
      <c r="G17" s="21">
        <v>1.05</v>
      </c>
      <c r="H17" s="21">
        <v>2</v>
      </c>
      <c r="I17" s="16"/>
      <c r="J17" s="21">
        <v>1.1000000000000001</v>
      </c>
      <c r="K17" s="21">
        <v>1.05</v>
      </c>
      <c r="L17" s="21">
        <v>2.5</v>
      </c>
      <c r="M17" s="16"/>
      <c r="N17" s="21">
        <v>1.07</v>
      </c>
      <c r="O17" s="21">
        <v>1.05</v>
      </c>
      <c r="P17" s="21">
        <v>3</v>
      </c>
      <c r="Q17" s="16"/>
      <c r="R17" s="21">
        <v>1.05</v>
      </c>
      <c r="S17" s="21">
        <v>1.05</v>
      </c>
      <c r="T17" s="21">
        <v>3.5</v>
      </c>
      <c r="U17" s="16"/>
      <c r="V17" s="21">
        <v>1.04</v>
      </c>
      <c r="W17" s="21">
        <v>1.05</v>
      </c>
      <c r="X17" s="21">
        <v>4</v>
      </c>
      <c r="Y17" s="16"/>
      <c r="Z17" s="21">
        <v>1.03</v>
      </c>
      <c r="AA17" s="21">
        <v>1.05</v>
      </c>
      <c r="AB17" s="21">
        <v>4.5</v>
      </c>
      <c r="AC17" s="16"/>
      <c r="AD17" s="21">
        <v>1.02</v>
      </c>
      <c r="AE17" s="21">
        <v>1.05</v>
      </c>
      <c r="AF17" s="21">
        <v>5</v>
      </c>
      <c r="AG17" s="16"/>
      <c r="AH17" s="21">
        <v>1.02</v>
      </c>
      <c r="AI17" s="21">
        <v>1.05</v>
      </c>
      <c r="AJ17" s="21">
        <v>5.5</v>
      </c>
      <c r="AK17" s="16"/>
      <c r="AL17" s="21">
        <v>1.01</v>
      </c>
      <c r="AM17" s="21">
        <v>1.05</v>
      </c>
      <c r="AN17" s="21">
        <v>6</v>
      </c>
      <c r="AO17" s="16"/>
      <c r="AP17" s="21">
        <v>1.01</v>
      </c>
      <c r="AQ17" s="21">
        <v>1.05</v>
      </c>
      <c r="AR17" s="21">
        <v>6.5</v>
      </c>
      <c r="AS17" s="16"/>
      <c r="AT17" s="21">
        <v>1.01</v>
      </c>
      <c r="AU17" s="21">
        <v>1.05</v>
      </c>
      <c r="AV17" s="21">
        <v>7</v>
      </c>
      <c r="AW17" s="16"/>
      <c r="AX17" s="21">
        <v>1.01</v>
      </c>
      <c r="AY17" s="21">
        <v>1.05</v>
      </c>
      <c r="AZ17" s="21">
        <v>7.5</v>
      </c>
      <c r="BA17" s="16"/>
      <c r="BB17" s="21">
        <v>1.01</v>
      </c>
      <c r="BC17" s="21">
        <v>1.05</v>
      </c>
      <c r="BD17" s="21">
        <v>8</v>
      </c>
      <c r="BE17" s="16"/>
      <c r="BF17" s="21">
        <v>1.01</v>
      </c>
      <c r="BG17" s="21">
        <v>1.05</v>
      </c>
      <c r="BH17" s="21">
        <v>8.5</v>
      </c>
      <c r="BI17" s="16"/>
      <c r="BJ17" s="21">
        <v>1.01</v>
      </c>
      <c r="BK17" s="21">
        <v>1.05</v>
      </c>
      <c r="BL17" s="21">
        <v>9</v>
      </c>
    </row>
    <row r="18" spans="2:80" x14ac:dyDescent="0.15">
      <c r="B18" s="21">
        <v>1.23</v>
      </c>
      <c r="C18" s="21">
        <v>1.1499999999999999</v>
      </c>
      <c r="D18" s="21">
        <v>1.5</v>
      </c>
      <c r="E18" s="16"/>
      <c r="F18" s="21">
        <v>1.1299999999999999</v>
      </c>
      <c r="G18" s="21">
        <v>1.1499999999999999</v>
      </c>
      <c r="H18" s="21">
        <v>2</v>
      </c>
      <c r="I18" s="16"/>
      <c r="J18" s="21">
        <v>1.08</v>
      </c>
      <c r="K18" s="21">
        <v>1.1499999999999999</v>
      </c>
      <c r="L18" s="21">
        <v>2.5</v>
      </c>
      <c r="M18" s="16"/>
      <c r="N18" s="21">
        <v>1.05</v>
      </c>
      <c r="O18" s="21">
        <v>1.1499999999999999</v>
      </c>
      <c r="P18" s="21">
        <v>3</v>
      </c>
      <c r="Q18" s="16"/>
      <c r="R18" s="21">
        <v>1.04</v>
      </c>
      <c r="S18" s="21">
        <v>1.1499999999999999</v>
      </c>
      <c r="T18" s="21">
        <v>3.5</v>
      </c>
      <c r="U18" s="16"/>
      <c r="V18" s="21">
        <v>1.03</v>
      </c>
      <c r="W18" s="21">
        <v>1.1499999999999999</v>
      </c>
      <c r="X18" s="21">
        <v>4</v>
      </c>
      <c r="Y18" s="16"/>
      <c r="Z18" s="21">
        <v>1.02</v>
      </c>
      <c r="AA18" s="21">
        <v>1.1499999999999999</v>
      </c>
      <c r="AB18" s="21">
        <v>4.5</v>
      </c>
      <c r="AC18" s="16"/>
      <c r="AD18" s="21">
        <v>1.02</v>
      </c>
      <c r="AE18" s="21">
        <v>1.1499999999999999</v>
      </c>
      <c r="AF18" s="21">
        <v>5</v>
      </c>
      <c r="AG18" s="16"/>
      <c r="AH18" s="21">
        <v>1.01</v>
      </c>
      <c r="AI18" s="21">
        <v>1.1499999999999999</v>
      </c>
      <c r="AJ18" s="21">
        <v>5.5</v>
      </c>
      <c r="AK18" s="16"/>
      <c r="AL18" s="21">
        <v>1.01</v>
      </c>
      <c r="AM18" s="21">
        <v>1.1499999999999999</v>
      </c>
      <c r="AN18" s="21">
        <v>6</v>
      </c>
      <c r="AO18" s="16"/>
      <c r="AP18" s="21">
        <v>1.01</v>
      </c>
      <c r="AQ18" s="21">
        <v>1.1499999999999999</v>
      </c>
      <c r="AR18" s="21">
        <v>6.5</v>
      </c>
      <c r="AS18" s="16"/>
      <c r="AT18" s="21">
        <v>1.01</v>
      </c>
      <c r="AU18" s="21">
        <v>1.1499999999999999</v>
      </c>
      <c r="AV18" s="21">
        <v>7</v>
      </c>
      <c r="AW18" s="16"/>
      <c r="AX18" s="21">
        <v>1.01</v>
      </c>
      <c r="AY18" s="21">
        <v>1.1499999999999999</v>
      </c>
      <c r="AZ18" s="21">
        <v>7.5</v>
      </c>
      <c r="BA18" s="16"/>
      <c r="BB18" s="21">
        <v>1.01</v>
      </c>
      <c r="BC18" s="21">
        <v>1.1499999999999999</v>
      </c>
      <c r="BD18" s="21">
        <v>8</v>
      </c>
      <c r="BE18" s="16"/>
      <c r="BF18" s="21">
        <v>1.01</v>
      </c>
      <c r="BG18" s="21">
        <v>1.1499999999999999</v>
      </c>
      <c r="BH18" s="21">
        <v>8.5</v>
      </c>
      <c r="BI18" s="16"/>
      <c r="BJ18" s="21">
        <v>1.01</v>
      </c>
      <c r="BK18" s="21">
        <v>1.1499999999999999</v>
      </c>
      <c r="BL18" s="21">
        <v>9</v>
      </c>
    </row>
    <row r="19" spans="2:80" x14ac:dyDescent="0.15">
      <c r="B19" s="21">
        <v>1.19</v>
      </c>
      <c r="C19" s="21">
        <v>1.25</v>
      </c>
      <c r="D19" s="21">
        <v>1.5</v>
      </c>
      <c r="E19" s="16"/>
      <c r="F19" s="21">
        <v>1.1100000000000001</v>
      </c>
      <c r="G19" s="21">
        <v>1.25</v>
      </c>
      <c r="H19" s="21">
        <v>2</v>
      </c>
      <c r="I19" s="16"/>
      <c r="J19" s="21">
        <v>1.07</v>
      </c>
      <c r="K19" s="21">
        <v>1.25</v>
      </c>
      <c r="L19" s="21">
        <v>2.5</v>
      </c>
      <c r="M19" s="16"/>
      <c r="N19" s="21">
        <v>1.04</v>
      </c>
      <c r="O19" s="21">
        <v>1.25</v>
      </c>
      <c r="P19" s="21">
        <v>3</v>
      </c>
      <c r="Q19" s="16"/>
      <c r="R19" s="21">
        <v>1.03</v>
      </c>
      <c r="S19" s="21">
        <v>1.25</v>
      </c>
      <c r="T19" s="21">
        <v>3.5</v>
      </c>
      <c r="U19" s="16"/>
      <c r="V19" s="21">
        <v>1.02</v>
      </c>
      <c r="W19" s="21">
        <v>1.25</v>
      </c>
      <c r="X19" s="21">
        <v>4</v>
      </c>
      <c r="Y19" s="16"/>
      <c r="Z19" s="21">
        <v>1.02</v>
      </c>
      <c r="AA19" s="21">
        <v>1.25</v>
      </c>
      <c r="AB19" s="21">
        <v>4.5</v>
      </c>
      <c r="AC19" s="16"/>
      <c r="AD19" s="21">
        <v>1.01</v>
      </c>
      <c r="AE19" s="21">
        <v>1.25</v>
      </c>
      <c r="AF19" s="21">
        <v>5</v>
      </c>
      <c r="AG19" s="16"/>
      <c r="AH19" s="21">
        <v>1.01</v>
      </c>
      <c r="AI19" s="21">
        <v>1.25</v>
      </c>
      <c r="AJ19" s="21">
        <v>5.5</v>
      </c>
      <c r="AK19" s="16"/>
      <c r="AL19" s="21">
        <v>1.01</v>
      </c>
      <c r="AM19" s="21">
        <v>1.25</v>
      </c>
      <c r="AN19" s="21">
        <v>6</v>
      </c>
      <c r="AO19" s="16"/>
      <c r="AP19" s="21">
        <v>1.01</v>
      </c>
      <c r="AQ19" s="21">
        <v>1.25</v>
      </c>
      <c r="AR19" s="21">
        <v>6.5</v>
      </c>
      <c r="AS19" s="16"/>
      <c r="AT19" s="21">
        <v>1.01</v>
      </c>
      <c r="AU19" s="21">
        <v>1.25</v>
      </c>
      <c r="AV19" s="21">
        <v>7</v>
      </c>
      <c r="AW19" s="16"/>
      <c r="AX19" s="21">
        <v>1.01</v>
      </c>
      <c r="AY19" s="21">
        <v>1.25</v>
      </c>
      <c r="AZ19" s="21">
        <v>7.5</v>
      </c>
      <c r="BA19" s="16"/>
      <c r="BB19" s="21">
        <v>1.01</v>
      </c>
      <c r="BC19" s="21">
        <v>1.25</v>
      </c>
      <c r="BD19" s="21">
        <v>8</v>
      </c>
      <c r="BE19" s="16"/>
      <c r="BF19" s="21">
        <v>1</v>
      </c>
      <c r="BG19" s="21">
        <v>1.25</v>
      </c>
      <c r="BH19" s="21">
        <v>8.5</v>
      </c>
      <c r="BI19" s="16"/>
      <c r="BJ19" s="21">
        <v>1</v>
      </c>
      <c r="BK19" s="21">
        <v>1.25</v>
      </c>
      <c r="BL19" s="21">
        <v>9</v>
      </c>
    </row>
    <row r="20" spans="2:80" x14ac:dyDescent="0.15">
      <c r="B20" s="21">
        <v>1.1599999999999999</v>
      </c>
      <c r="C20" s="21">
        <v>1.35</v>
      </c>
      <c r="D20" s="21">
        <v>1.5</v>
      </c>
      <c r="E20" s="16"/>
      <c r="F20" s="21">
        <v>1.0900000000000001</v>
      </c>
      <c r="G20" s="21">
        <v>1.35</v>
      </c>
      <c r="H20" s="21">
        <v>2</v>
      </c>
      <c r="I20" s="16"/>
      <c r="J20" s="21">
        <v>1.05</v>
      </c>
      <c r="K20" s="21">
        <v>1.35</v>
      </c>
      <c r="L20" s="21">
        <v>2.5</v>
      </c>
      <c r="M20" s="16"/>
      <c r="N20" s="21">
        <v>1.04</v>
      </c>
      <c r="O20" s="21">
        <v>1.35</v>
      </c>
      <c r="P20" s="21">
        <v>3</v>
      </c>
      <c r="Q20" s="16"/>
      <c r="R20" s="21">
        <v>1.03</v>
      </c>
      <c r="S20" s="21">
        <v>1.35</v>
      </c>
      <c r="T20" s="21">
        <v>3.5</v>
      </c>
      <c r="U20" s="16"/>
      <c r="V20" s="21">
        <v>1.02</v>
      </c>
      <c r="W20" s="21">
        <v>1.35</v>
      </c>
      <c r="X20" s="21">
        <v>4</v>
      </c>
      <c r="Y20" s="16"/>
      <c r="Z20" s="21">
        <v>1.02</v>
      </c>
      <c r="AA20" s="21">
        <v>1.35</v>
      </c>
      <c r="AB20" s="21">
        <v>4.5</v>
      </c>
      <c r="AC20" s="16"/>
      <c r="AD20" s="21">
        <v>1.01</v>
      </c>
      <c r="AE20" s="21">
        <v>1.35</v>
      </c>
      <c r="AF20" s="21">
        <v>5</v>
      </c>
      <c r="AG20" s="16"/>
      <c r="AH20" s="21">
        <v>1.01</v>
      </c>
      <c r="AI20" s="21">
        <v>1.35</v>
      </c>
      <c r="AJ20" s="21">
        <v>5.5</v>
      </c>
      <c r="AK20" s="16"/>
      <c r="AL20" s="21">
        <v>1.01</v>
      </c>
      <c r="AM20" s="21">
        <v>1.35</v>
      </c>
      <c r="AN20" s="21">
        <v>6</v>
      </c>
      <c r="AO20" s="16"/>
      <c r="AP20" s="21">
        <v>1.01</v>
      </c>
      <c r="AQ20" s="21">
        <v>1.35</v>
      </c>
      <c r="AR20" s="21">
        <v>6.5</v>
      </c>
      <c r="AS20" s="16"/>
      <c r="AT20" s="21">
        <v>1.01</v>
      </c>
      <c r="AU20" s="21">
        <v>1.35</v>
      </c>
      <c r="AV20" s="21">
        <v>7</v>
      </c>
      <c r="AW20" s="16"/>
      <c r="AX20" s="21">
        <v>1.01</v>
      </c>
      <c r="AY20" s="21">
        <v>1.35</v>
      </c>
      <c r="AZ20" s="21">
        <v>7.5</v>
      </c>
      <c r="BA20" s="16"/>
      <c r="BB20" s="21">
        <v>1</v>
      </c>
      <c r="BC20" s="21">
        <v>1.35</v>
      </c>
      <c r="BD20" s="21">
        <v>8</v>
      </c>
      <c r="BE20" s="16"/>
      <c r="BF20" s="21">
        <v>1</v>
      </c>
      <c r="BG20" s="21">
        <v>1.35</v>
      </c>
      <c r="BH20" s="21">
        <v>8.5</v>
      </c>
      <c r="BI20" s="16"/>
      <c r="BJ20" s="21">
        <v>1</v>
      </c>
      <c r="BK20" s="21">
        <v>1.35</v>
      </c>
      <c r="BL20" s="21">
        <v>9</v>
      </c>
    </row>
    <row r="21" spans="2:80" x14ac:dyDescent="0.15">
      <c r="B21" s="21">
        <v>1.1299999999999999</v>
      </c>
      <c r="C21" s="21">
        <v>1.45</v>
      </c>
      <c r="D21" s="21">
        <v>1.5</v>
      </c>
      <c r="E21" s="16"/>
      <c r="F21" s="21">
        <v>1.07</v>
      </c>
      <c r="G21" s="21">
        <v>1.45</v>
      </c>
      <c r="H21" s="21">
        <v>2</v>
      </c>
      <c r="I21" s="16"/>
      <c r="J21" s="21">
        <v>1.05</v>
      </c>
      <c r="K21" s="21">
        <v>1.45</v>
      </c>
      <c r="L21" s="21">
        <v>2.5</v>
      </c>
      <c r="M21" s="16"/>
      <c r="N21" s="21">
        <v>1.03</v>
      </c>
      <c r="O21" s="21">
        <v>1.45</v>
      </c>
      <c r="P21" s="21">
        <v>3</v>
      </c>
      <c r="Q21" s="16"/>
      <c r="R21" s="21">
        <v>1.02</v>
      </c>
      <c r="S21" s="21">
        <v>1.45</v>
      </c>
      <c r="T21" s="21">
        <v>3.5</v>
      </c>
      <c r="U21" s="16"/>
      <c r="V21" s="21">
        <v>1.02</v>
      </c>
      <c r="W21" s="21">
        <v>1.45</v>
      </c>
      <c r="X21" s="21">
        <v>4</v>
      </c>
      <c r="Y21" s="16"/>
      <c r="Z21" s="21">
        <v>1.01</v>
      </c>
      <c r="AA21" s="21">
        <v>1.45</v>
      </c>
      <c r="AB21" s="21">
        <v>4.5</v>
      </c>
      <c r="AC21" s="16"/>
      <c r="AD21" s="21">
        <v>1.01</v>
      </c>
      <c r="AE21" s="21">
        <v>1.45</v>
      </c>
      <c r="AF21" s="21">
        <v>5</v>
      </c>
      <c r="AG21" s="16"/>
      <c r="AH21" s="21">
        <v>1.01</v>
      </c>
      <c r="AI21" s="21">
        <v>1.45</v>
      </c>
      <c r="AJ21" s="21">
        <v>5.5</v>
      </c>
      <c r="AK21" s="16"/>
      <c r="AL21" s="21">
        <v>1.01</v>
      </c>
      <c r="AM21" s="21">
        <v>1.45</v>
      </c>
      <c r="AN21" s="21">
        <v>6</v>
      </c>
      <c r="AO21" s="16"/>
      <c r="AP21" s="21">
        <v>1.01</v>
      </c>
      <c r="AQ21" s="21">
        <v>1.45</v>
      </c>
      <c r="AR21" s="21">
        <v>6.5</v>
      </c>
      <c r="AS21" s="16"/>
      <c r="AT21" s="21">
        <v>1.01</v>
      </c>
      <c r="AU21" s="21">
        <v>1.45</v>
      </c>
      <c r="AV21" s="21">
        <v>7</v>
      </c>
      <c r="AW21" s="16"/>
      <c r="AX21" s="21">
        <v>1</v>
      </c>
      <c r="AY21" s="21">
        <v>1.45</v>
      </c>
      <c r="AZ21" s="21">
        <v>7.5</v>
      </c>
      <c r="BA21" s="16"/>
      <c r="BB21" s="21">
        <v>1</v>
      </c>
      <c r="BC21" s="21">
        <v>1.45</v>
      </c>
      <c r="BD21" s="21">
        <v>8</v>
      </c>
      <c r="BE21" s="16"/>
      <c r="BF21" s="21">
        <v>1</v>
      </c>
      <c r="BG21" s="21">
        <v>1.45</v>
      </c>
      <c r="BH21" s="21">
        <v>8.5</v>
      </c>
      <c r="BI21" s="16"/>
      <c r="BJ21" s="21">
        <v>1</v>
      </c>
      <c r="BK21" s="21">
        <v>1.45</v>
      </c>
      <c r="BL21" s="21">
        <v>9</v>
      </c>
    </row>
    <row r="22" spans="2:80" x14ac:dyDescent="0.15">
      <c r="B22" s="21">
        <v>1.1100000000000001</v>
      </c>
      <c r="C22" s="21">
        <v>1.55</v>
      </c>
      <c r="D22" s="21">
        <v>1.5</v>
      </c>
      <c r="E22" s="16"/>
      <c r="F22" s="21">
        <v>1.06</v>
      </c>
      <c r="G22" s="21">
        <v>1.55</v>
      </c>
      <c r="H22" s="21">
        <v>2</v>
      </c>
      <c r="I22" s="16"/>
      <c r="J22" s="21">
        <v>1.04</v>
      </c>
      <c r="K22" s="21">
        <v>1.55</v>
      </c>
      <c r="L22" s="21">
        <v>2.5</v>
      </c>
      <c r="M22" s="16"/>
      <c r="N22" s="21">
        <v>1.03</v>
      </c>
      <c r="O22" s="21">
        <v>1.55</v>
      </c>
      <c r="P22" s="21">
        <v>3</v>
      </c>
      <c r="Q22" s="16"/>
      <c r="R22" s="21">
        <v>1.02</v>
      </c>
      <c r="S22" s="21">
        <v>1.55</v>
      </c>
      <c r="T22" s="21">
        <v>3.5</v>
      </c>
      <c r="U22" s="16"/>
      <c r="V22" s="21">
        <v>1.01</v>
      </c>
      <c r="W22" s="21">
        <v>1.55</v>
      </c>
      <c r="X22" s="21">
        <v>4</v>
      </c>
      <c r="Y22" s="16"/>
      <c r="Z22" s="21">
        <v>1.01</v>
      </c>
      <c r="AA22" s="21">
        <v>1.55</v>
      </c>
      <c r="AB22" s="21">
        <v>4.5</v>
      </c>
      <c r="AC22" s="16"/>
      <c r="AD22" s="21">
        <v>1.01</v>
      </c>
      <c r="AE22" s="21">
        <v>1.55</v>
      </c>
      <c r="AF22" s="21">
        <v>5</v>
      </c>
      <c r="AG22" s="16"/>
      <c r="AH22" s="21">
        <v>1.01</v>
      </c>
      <c r="AI22" s="21">
        <v>1.55</v>
      </c>
      <c r="AJ22" s="21">
        <v>5.5</v>
      </c>
      <c r="AK22" s="16"/>
      <c r="AL22" s="21">
        <v>1.01</v>
      </c>
      <c r="AM22" s="21">
        <v>1.55</v>
      </c>
      <c r="AN22" s="21">
        <v>6</v>
      </c>
      <c r="AO22" s="16"/>
      <c r="AP22" s="21">
        <v>1.01</v>
      </c>
      <c r="AQ22" s="21">
        <v>1.55</v>
      </c>
      <c r="AR22" s="21">
        <v>6.5</v>
      </c>
      <c r="AS22" s="16"/>
      <c r="AT22" s="21">
        <v>1</v>
      </c>
      <c r="AU22" s="21">
        <v>1.55</v>
      </c>
      <c r="AV22" s="21">
        <v>7</v>
      </c>
      <c r="AW22" s="16"/>
      <c r="AX22" s="21">
        <v>1</v>
      </c>
      <c r="AY22" s="21">
        <v>1.55</v>
      </c>
      <c r="AZ22" s="21">
        <v>7.5</v>
      </c>
      <c r="BA22" s="16"/>
      <c r="BB22" s="21">
        <v>1</v>
      </c>
      <c r="BC22" s="21">
        <v>1.55</v>
      </c>
      <c r="BD22" s="21">
        <v>8</v>
      </c>
      <c r="BE22" s="16"/>
      <c r="BF22" s="21">
        <v>1</v>
      </c>
      <c r="BG22" s="21">
        <v>1.55</v>
      </c>
      <c r="BH22" s="21">
        <v>8.5</v>
      </c>
      <c r="BI22" s="16"/>
      <c r="BJ22" s="21">
        <v>1</v>
      </c>
      <c r="BK22" s="21">
        <v>1.55</v>
      </c>
      <c r="BL22" s="21">
        <v>9</v>
      </c>
    </row>
    <row r="23" spans="2:80" x14ac:dyDescent="0.15">
      <c r="R23" s="19"/>
      <c r="S23" s="19"/>
      <c r="T23" s="19"/>
      <c r="V23" s="20"/>
      <c r="W23" s="20"/>
      <c r="X23" s="20"/>
      <c r="Z23" s="19"/>
      <c r="AA23" s="19"/>
      <c r="AB23" s="19"/>
      <c r="AD23" s="19"/>
      <c r="AE23" s="19"/>
      <c r="AF23" s="19"/>
      <c r="AH23" s="19"/>
      <c r="AI23" s="19"/>
      <c r="AJ23" s="19"/>
      <c r="AL23" s="19"/>
      <c r="AM23" s="19"/>
      <c r="AN23" s="19"/>
      <c r="AP23" s="19"/>
      <c r="AQ23" s="19"/>
      <c r="AR23" s="19"/>
      <c r="AT23" s="19"/>
      <c r="AU23" s="19"/>
      <c r="AV23" s="19"/>
      <c r="AX23" s="19"/>
      <c r="AY23" s="19"/>
      <c r="AZ23" s="19"/>
      <c r="BB23" s="19"/>
      <c r="BC23" s="19"/>
      <c r="BD23" s="19"/>
      <c r="BF23" s="19"/>
      <c r="BG23" s="19"/>
      <c r="BH23" s="19"/>
      <c r="BJ23" s="19"/>
      <c r="BK23" s="19"/>
      <c r="BL23" s="19"/>
      <c r="BN23" s="19"/>
      <c r="BO23" s="19"/>
      <c r="BP23" s="19"/>
      <c r="BR23" s="19"/>
      <c r="BS23" s="19"/>
      <c r="BT23" s="19"/>
      <c r="BV23" s="19"/>
      <c r="BW23" s="19"/>
      <c r="BX23" s="19"/>
      <c r="BZ23" s="19"/>
      <c r="CA23" s="19"/>
      <c r="CB23" s="19"/>
    </row>
    <row r="24" spans="2:80" x14ac:dyDescent="0.15">
      <c r="R24" s="19"/>
      <c r="S24" s="19"/>
      <c r="T24" s="19"/>
      <c r="V24" s="20"/>
      <c r="W24" s="20"/>
      <c r="X24" s="20"/>
      <c r="Z24" s="19"/>
      <c r="AA24" s="19"/>
      <c r="AB24" s="19"/>
      <c r="AD24" s="19"/>
      <c r="AE24" s="19"/>
      <c r="AF24" s="19"/>
      <c r="AH24" s="19"/>
      <c r="AI24" s="19"/>
      <c r="AJ24" s="19"/>
      <c r="AL24" s="19"/>
      <c r="AM24" s="19"/>
      <c r="AN24" s="19"/>
      <c r="AP24" s="19"/>
      <c r="AQ24" s="19"/>
      <c r="AR24" s="19"/>
      <c r="AT24" s="19"/>
      <c r="AU24" s="19"/>
      <c r="AV24" s="19"/>
      <c r="AX24" s="19"/>
      <c r="AY24" s="19"/>
      <c r="AZ24" s="19"/>
      <c r="BB24" s="19"/>
      <c r="BC24" s="19"/>
      <c r="BD24" s="19"/>
      <c r="BF24" s="19"/>
      <c r="BG24" s="19"/>
      <c r="BH24" s="19"/>
      <c r="BJ24" s="19"/>
      <c r="BK24" s="19"/>
      <c r="BL24" s="19"/>
      <c r="BN24" s="19"/>
      <c r="BO24" s="19"/>
      <c r="BP24" s="19"/>
      <c r="BR24" s="19"/>
      <c r="BS24" s="19"/>
      <c r="BT24" s="19"/>
      <c r="BV24" s="19"/>
      <c r="BW24" s="19"/>
      <c r="BX24" s="19"/>
      <c r="BZ24" s="19"/>
      <c r="CA24" s="19"/>
      <c r="CB24" s="19"/>
    </row>
    <row r="25" spans="2:80" x14ac:dyDescent="0.15">
      <c r="R25" s="19"/>
      <c r="S25" s="19"/>
      <c r="T25" s="19"/>
      <c r="V25" s="20"/>
      <c r="W25" s="20"/>
      <c r="X25" s="20"/>
      <c r="Z25" s="19"/>
      <c r="AA25" s="19"/>
      <c r="AB25" s="19"/>
      <c r="AD25" s="19"/>
      <c r="AE25" s="19"/>
      <c r="AF25" s="19"/>
      <c r="AH25" s="19"/>
      <c r="AI25" s="19"/>
      <c r="AJ25" s="19"/>
      <c r="AL25" s="19"/>
      <c r="AM25" s="19"/>
      <c r="AN25" s="19"/>
      <c r="AP25" s="19"/>
      <c r="AQ25" s="19"/>
      <c r="AR25" s="19"/>
      <c r="AT25" s="19"/>
      <c r="AU25" s="19"/>
      <c r="AV25" s="19"/>
      <c r="AX25" s="19"/>
      <c r="AY25" s="19"/>
      <c r="AZ25" s="19"/>
      <c r="BB25" s="19"/>
      <c r="BC25" s="19"/>
      <c r="BD25" s="19"/>
      <c r="BF25" s="19"/>
      <c r="BG25" s="19"/>
      <c r="BH25" s="19"/>
      <c r="BJ25" s="19"/>
      <c r="BK25" s="19"/>
      <c r="BL25" s="19"/>
      <c r="BN25" s="19"/>
      <c r="BO25" s="19"/>
      <c r="BP25" s="19"/>
      <c r="BR25" s="19"/>
      <c r="BS25" s="19"/>
      <c r="BT25" s="19"/>
      <c r="BV25" s="19"/>
      <c r="BW25" s="19"/>
      <c r="BX25" s="19"/>
      <c r="BZ25" s="19"/>
      <c r="CA25" s="19"/>
      <c r="CB25" s="19"/>
    </row>
    <row r="26" spans="2:80" x14ac:dyDescent="0.15">
      <c r="R26" s="19"/>
      <c r="S26" s="19"/>
      <c r="T26" s="19"/>
      <c r="V26" s="20"/>
      <c r="W26" s="20"/>
      <c r="X26" s="20"/>
      <c r="Z26" s="19"/>
      <c r="AA26" s="19"/>
      <c r="AB26" s="19"/>
      <c r="AD26" s="19"/>
      <c r="AE26" s="19"/>
      <c r="AF26" s="19"/>
      <c r="AH26" s="19"/>
      <c r="AI26" s="19"/>
      <c r="AJ26" s="19"/>
      <c r="AL26" s="19"/>
      <c r="AM26" s="19"/>
      <c r="AN26" s="19"/>
      <c r="AP26" s="19"/>
      <c r="AQ26" s="19"/>
      <c r="AR26" s="19"/>
      <c r="AT26" s="19"/>
      <c r="AU26" s="19"/>
      <c r="AV26" s="19"/>
      <c r="AX26" s="19"/>
      <c r="AY26" s="19"/>
      <c r="AZ26" s="19"/>
      <c r="BB26" s="19"/>
      <c r="BC26" s="19"/>
      <c r="BD26" s="19"/>
      <c r="BF26" s="19"/>
      <c r="BG26" s="19"/>
      <c r="BH26" s="19"/>
      <c r="BJ26" s="19"/>
      <c r="BK26" s="19"/>
      <c r="BL26" s="19"/>
      <c r="BN26" s="19"/>
      <c r="BO26" s="19"/>
      <c r="BP26" s="19"/>
      <c r="BR26" s="19"/>
      <c r="BS26" s="19"/>
      <c r="BT26" s="19"/>
      <c r="BV26" s="19"/>
      <c r="BW26" s="19"/>
      <c r="BX26" s="19"/>
      <c r="BZ26" s="19"/>
      <c r="CA26" s="19"/>
      <c r="CB26" s="19"/>
    </row>
    <row r="27" spans="2:80" x14ac:dyDescent="0.15">
      <c r="R27" s="19"/>
      <c r="S27" s="19"/>
      <c r="T27" s="19"/>
      <c r="V27" s="20"/>
      <c r="W27" s="20"/>
      <c r="X27" s="20"/>
      <c r="Z27" s="19"/>
      <c r="AA27" s="19"/>
      <c r="AB27" s="19"/>
      <c r="AD27" s="19"/>
      <c r="AE27" s="19"/>
      <c r="AF27" s="19"/>
      <c r="AH27" s="19"/>
      <c r="AI27" s="19"/>
      <c r="AJ27" s="19"/>
      <c r="AL27" s="19"/>
      <c r="AM27" s="19"/>
      <c r="AN27" s="19"/>
      <c r="AP27" s="19"/>
      <c r="AQ27" s="19"/>
      <c r="AR27" s="19"/>
      <c r="AT27" s="19"/>
      <c r="AU27" s="19"/>
      <c r="AV27" s="19"/>
      <c r="AX27" s="19"/>
      <c r="AY27" s="19"/>
      <c r="AZ27" s="19"/>
      <c r="BB27" s="19"/>
      <c r="BC27" s="19"/>
      <c r="BD27" s="19"/>
      <c r="BF27" s="19"/>
      <c r="BG27" s="19"/>
      <c r="BH27" s="19"/>
      <c r="BJ27" s="19"/>
      <c r="BK27" s="19"/>
      <c r="BL27" s="19"/>
      <c r="BN27" s="19"/>
      <c r="BO27" s="19"/>
      <c r="BP27" s="19"/>
      <c r="BR27" s="19"/>
      <c r="BS27" s="19"/>
      <c r="BT27" s="19"/>
      <c r="BV27" s="19"/>
      <c r="BW27" s="19"/>
      <c r="BX27" s="19"/>
      <c r="BZ27" s="19"/>
      <c r="CA27" s="19"/>
      <c r="CB27" s="19"/>
    </row>
    <row r="28" spans="2:80" x14ac:dyDescent="0.15">
      <c r="R28" s="19"/>
      <c r="S28" s="19"/>
      <c r="T28" s="19"/>
      <c r="V28" s="20"/>
      <c r="W28" s="20"/>
      <c r="X28" s="20"/>
      <c r="Z28" s="19"/>
      <c r="AA28" s="19"/>
      <c r="AB28" s="19"/>
      <c r="AD28" s="19"/>
      <c r="AE28" s="19"/>
      <c r="AF28" s="19"/>
      <c r="AH28" s="19"/>
      <c r="AI28" s="19"/>
      <c r="AJ28" s="19"/>
      <c r="AL28" s="19"/>
      <c r="AM28" s="19"/>
      <c r="AN28" s="19"/>
      <c r="AP28" s="19"/>
      <c r="AQ28" s="19"/>
      <c r="AR28" s="19"/>
      <c r="AT28" s="19"/>
      <c r="AU28" s="19"/>
      <c r="AV28" s="19"/>
      <c r="AX28" s="19"/>
      <c r="AY28" s="19"/>
      <c r="AZ28" s="19"/>
      <c r="BB28" s="19"/>
      <c r="BC28" s="19"/>
      <c r="BD28" s="19"/>
      <c r="BF28" s="19"/>
      <c r="BG28" s="19"/>
      <c r="BH28" s="19"/>
      <c r="BJ28" s="19"/>
      <c r="BK28" s="19"/>
      <c r="BL28" s="19"/>
      <c r="BN28" s="19"/>
      <c r="BO28" s="19"/>
      <c r="BP28" s="19"/>
      <c r="BR28" s="19"/>
      <c r="BS28" s="19"/>
      <c r="BT28" s="19"/>
      <c r="BV28" s="19"/>
      <c r="BW28" s="19"/>
      <c r="BX28" s="19"/>
      <c r="BZ28" s="19"/>
      <c r="CA28" s="19"/>
      <c r="CB28" s="19"/>
    </row>
    <row r="29" spans="2:80" x14ac:dyDescent="0.15">
      <c r="R29" s="19"/>
      <c r="S29" s="19"/>
      <c r="T29" s="19"/>
      <c r="V29" s="20"/>
      <c r="W29" s="20"/>
      <c r="X29" s="20"/>
      <c r="Z29" s="19"/>
      <c r="AA29" s="19"/>
      <c r="AB29" s="19"/>
      <c r="AD29" s="19"/>
      <c r="AE29" s="19"/>
      <c r="AF29" s="19"/>
      <c r="AH29" s="19"/>
      <c r="AI29" s="19"/>
      <c r="AJ29" s="19"/>
      <c r="AL29" s="19"/>
      <c r="AM29" s="19"/>
      <c r="AN29" s="19"/>
      <c r="AP29" s="19"/>
      <c r="AQ29" s="19"/>
      <c r="AR29" s="19"/>
      <c r="AT29" s="19"/>
      <c r="AU29" s="19"/>
      <c r="AV29" s="19"/>
      <c r="AX29" s="19"/>
      <c r="AY29" s="19"/>
      <c r="AZ29" s="19"/>
      <c r="BB29" s="19"/>
      <c r="BC29" s="19"/>
      <c r="BD29" s="19"/>
      <c r="BF29" s="19"/>
      <c r="BG29" s="19"/>
      <c r="BH29" s="19"/>
      <c r="BJ29" s="19"/>
      <c r="BK29" s="19"/>
      <c r="BL29" s="19"/>
      <c r="BN29" s="19"/>
      <c r="BO29" s="19"/>
      <c r="BP29" s="19"/>
      <c r="BR29" s="19"/>
      <c r="BS29" s="19"/>
      <c r="BT29" s="19"/>
      <c r="BV29" s="19"/>
      <c r="BW29" s="19"/>
      <c r="BX29" s="19"/>
      <c r="BZ29" s="19"/>
      <c r="CA29" s="19"/>
      <c r="CB29" s="19"/>
    </row>
    <row r="30" spans="2:80" x14ac:dyDescent="0.15">
      <c r="R30" s="19"/>
      <c r="S30" s="19"/>
      <c r="T30" s="19"/>
      <c r="V30" s="20"/>
      <c r="W30" s="20"/>
      <c r="X30" s="20"/>
      <c r="Z30" s="19"/>
      <c r="AA30" s="19"/>
      <c r="AB30" s="19"/>
      <c r="AD30" s="19"/>
      <c r="AE30" s="19"/>
      <c r="AF30" s="19"/>
      <c r="AH30" s="19"/>
      <c r="AI30" s="19"/>
      <c r="AJ30" s="19"/>
      <c r="AL30" s="19"/>
      <c r="AM30" s="19"/>
      <c r="AN30" s="19"/>
      <c r="AP30" s="19"/>
      <c r="AQ30" s="19"/>
      <c r="AR30" s="19"/>
      <c r="AT30" s="19"/>
      <c r="AU30" s="19"/>
      <c r="AV30" s="19"/>
      <c r="AX30" s="19"/>
      <c r="AY30" s="19"/>
      <c r="AZ30" s="19"/>
      <c r="BB30" s="19"/>
      <c r="BC30" s="19"/>
      <c r="BD30" s="19"/>
      <c r="BF30" s="19"/>
      <c r="BG30" s="19"/>
      <c r="BH30" s="19"/>
      <c r="BJ30" s="19"/>
      <c r="BK30" s="19"/>
      <c r="BL30" s="19"/>
      <c r="BN30" s="19"/>
      <c r="BO30" s="19"/>
      <c r="BP30" s="19"/>
      <c r="BR30" s="19"/>
      <c r="BS30" s="19"/>
      <c r="BT30" s="19"/>
      <c r="BV30" s="19"/>
      <c r="BW30" s="19"/>
      <c r="BX30" s="19"/>
      <c r="BZ30" s="19"/>
      <c r="CA30" s="19"/>
      <c r="CB30" s="19"/>
    </row>
    <row r="31" spans="2:80" x14ac:dyDescent="0.15">
      <c r="R31" s="19"/>
      <c r="S31" s="19"/>
      <c r="T31" s="19"/>
      <c r="V31" s="20"/>
      <c r="W31" s="20"/>
      <c r="X31" s="20"/>
      <c r="Z31" s="19"/>
      <c r="AA31" s="19"/>
      <c r="AB31" s="19"/>
      <c r="AD31" s="19"/>
      <c r="AE31" s="19"/>
      <c r="AF31" s="19"/>
      <c r="AH31" s="19"/>
      <c r="AI31" s="19"/>
      <c r="AJ31" s="19"/>
      <c r="AL31" s="19"/>
      <c r="AM31" s="19"/>
      <c r="AN31" s="19"/>
      <c r="AP31" s="19"/>
      <c r="AQ31" s="19"/>
      <c r="AR31" s="19"/>
      <c r="AT31" s="19"/>
      <c r="AU31" s="19"/>
      <c r="AV31" s="19"/>
      <c r="AX31" s="19"/>
      <c r="AY31" s="19"/>
      <c r="AZ31" s="19"/>
      <c r="BB31" s="19"/>
      <c r="BC31" s="19"/>
      <c r="BD31" s="19"/>
      <c r="BF31" s="19"/>
      <c r="BG31" s="19"/>
      <c r="BH31" s="19"/>
      <c r="BJ31" s="19"/>
      <c r="BK31" s="19"/>
      <c r="BL31" s="19"/>
      <c r="BN31" s="19"/>
      <c r="BO31" s="19"/>
      <c r="BP31" s="19"/>
      <c r="BR31" s="19"/>
      <c r="BS31" s="19"/>
      <c r="BT31" s="19"/>
      <c r="BV31" s="19"/>
      <c r="BW31" s="19"/>
      <c r="BX31" s="19"/>
      <c r="BZ31" s="19"/>
      <c r="CA31" s="19"/>
      <c r="CB31" s="19"/>
    </row>
    <row r="32" spans="2:80" x14ac:dyDescent="0.15">
      <c r="R32" s="19"/>
      <c r="S32" s="19"/>
      <c r="T32" s="19"/>
      <c r="V32" s="20"/>
      <c r="W32" s="20"/>
      <c r="X32" s="20"/>
      <c r="Z32" s="19"/>
      <c r="AA32" s="19"/>
      <c r="AB32" s="19"/>
      <c r="AD32" s="19"/>
      <c r="AE32" s="19"/>
      <c r="AF32" s="19"/>
      <c r="AH32" s="19"/>
      <c r="AI32" s="19"/>
      <c r="AJ32" s="19"/>
      <c r="AL32" s="19"/>
      <c r="AM32" s="19"/>
      <c r="AN32" s="19"/>
      <c r="AP32" s="19"/>
      <c r="AQ32" s="19"/>
      <c r="AR32" s="19"/>
      <c r="AT32" s="19"/>
      <c r="AU32" s="19"/>
      <c r="AV32" s="19"/>
      <c r="AX32" s="19"/>
      <c r="AY32" s="19"/>
      <c r="AZ32" s="19"/>
      <c r="BB32" s="19"/>
      <c r="BC32" s="19"/>
      <c r="BD32" s="19"/>
      <c r="BF32" s="19"/>
      <c r="BG32" s="19"/>
      <c r="BH32" s="19"/>
      <c r="BJ32" s="19"/>
      <c r="BK32" s="19"/>
      <c r="BL32" s="19"/>
      <c r="BN32" s="19"/>
      <c r="BO32" s="19"/>
      <c r="BP32" s="19"/>
      <c r="BR32" s="19"/>
      <c r="BS32" s="19"/>
      <c r="BT32" s="19"/>
      <c r="BV32" s="19"/>
      <c r="BW32" s="19"/>
      <c r="BX32" s="19"/>
      <c r="BZ32" s="19"/>
      <c r="CA32" s="19"/>
      <c r="CB32" s="19"/>
    </row>
    <row r="33" spans="2:110" x14ac:dyDescent="0.15">
      <c r="R33" s="19"/>
      <c r="S33" s="19"/>
      <c r="T33" s="19"/>
      <c r="V33" s="20"/>
      <c r="W33" s="20"/>
      <c r="X33" s="20"/>
      <c r="Z33" s="19"/>
      <c r="AA33" s="19"/>
      <c r="AB33" s="19"/>
      <c r="AD33" s="19"/>
      <c r="AE33" s="19"/>
      <c r="AF33" s="19"/>
      <c r="AH33" s="19"/>
      <c r="AI33" s="19"/>
      <c r="AJ33" s="19"/>
      <c r="AL33" s="19"/>
      <c r="AM33" s="19"/>
      <c r="AN33" s="19"/>
      <c r="AP33" s="19"/>
      <c r="AQ33" s="19"/>
      <c r="AR33" s="19"/>
      <c r="AT33" s="19"/>
      <c r="AU33" s="19"/>
      <c r="AV33" s="19"/>
      <c r="AX33" s="19"/>
      <c r="AY33" s="19"/>
      <c r="AZ33" s="19"/>
      <c r="BB33" s="19"/>
      <c r="BC33" s="19"/>
      <c r="BD33" s="19"/>
      <c r="BF33" s="19"/>
      <c r="BG33" s="19"/>
      <c r="BH33" s="19"/>
      <c r="BJ33" s="19"/>
      <c r="BK33" s="19"/>
      <c r="BL33" s="19"/>
      <c r="BN33" s="19"/>
      <c r="BO33" s="19"/>
      <c r="BP33" s="19"/>
      <c r="BR33" s="19"/>
      <c r="BS33" s="19"/>
      <c r="BT33" s="19"/>
      <c r="BV33" s="19"/>
      <c r="BW33" s="19"/>
      <c r="BX33" s="19"/>
      <c r="BZ33" s="19"/>
      <c r="CA33" s="19"/>
      <c r="CB33" s="19"/>
    </row>
    <row r="34" spans="2:110" x14ac:dyDescent="0.15">
      <c r="R34" s="19"/>
      <c r="S34" s="19"/>
      <c r="T34" s="19"/>
      <c r="V34" s="20"/>
      <c r="W34" s="20"/>
      <c r="X34" s="20"/>
      <c r="Z34" s="19"/>
      <c r="AA34" s="19"/>
      <c r="AB34" s="19"/>
      <c r="AD34" s="19"/>
      <c r="AE34" s="19"/>
      <c r="AF34" s="19"/>
      <c r="AH34" s="19"/>
      <c r="AI34" s="19"/>
      <c r="AJ34" s="19"/>
      <c r="AL34" s="19"/>
      <c r="AM34" s="19"/>
      <c r="AN34" s="19"/>
      <c r="AP34" s="19"/>
      <c r="AQ34" s="19"/>
      <c r="AR34" s="19"/>
      <c r="AT34" s="19"/>
      <c r="AU34" s="19"/>
      <c r="AV34" s="19"/>
      <c r="AX34" s="19"/>
      <c r="AY34" s="19"/>
      <c r="AZ34" s="19"/>
      <c r="BB34" s="19"/>
      <c r="BC34" s="19"/>
      <c r="BD34" s="19"/>
      <c r="BF34" s="19"/>
      <c r="BG34" s="19"/>
      <c r="BH34" s="19"/>
      <c r="BJ34" s="19"/>
      <c r="BK34" s="19"/>
      <c r="BL34" s="19"/>
      <c r="BN34" s="19"/>
      <c r="BO34" s="19"/>
      <c r="BP34" s="19"/>
      <c r="BR34" s="19"/>
      <c r="BS34" s="19"/>
      <c r="BT34" s="19"/>
      <c r="BV34" s="19"/>
      <c r="BW34" s="19"/>
      <c r="BX34" s="19"/>
      <c r="BZ34" s="19"/>
      <c r="CA34" s="19"/>
      <c r="CB34" s="19"/>
    </row>
    <row r="35" spans="2:110" x14ac:dyDescent="0.15">
      <c r="R35" s="19"/>
      <c r="S35" s="19"/>
      <c r="T35" s="19"/>
      <c r="V35" s="20"/>
      <c r="W35" s="20"/>
      <c r="X35" s="20"/>
      <c r="Z35" s="19"/>
      <c r="AA35" s="19"/>
      <c r="AB35" s="19"/>
      <c r="AD35" s="19"/>
      <c r="AE35" s="19"/>
      <c r="AF35" s="19"/>
      <c r="AH35" s="19"/>
      <c r="AI35" s="19"/>
      <c r="AJ35" s="19"/>
      <c r="AL35" s="19"/>
      <c r="AM35" s="19"/>
      <c r="AN35" s="19"/>
      <c r="AP35" s="19"/>
      <c r="AQ35" s="19"/>
      <c r="AR35" s="19"/>
      <c r="AT35" s="19"/>
      <c r="AU35" s="19"/>
      <c r="AV35" s="19"/>
      <c r="AX35" s="19"/>
      <c r="AY35" s="19"/>
      <c r="AZ35" s="19"/>
      <c r="BB35" s="19"/>
      <c r="BC35" s="19"/>
      <c r="BD35" s="19"/>
      <c r="BF35" s="19"/>
      <c r="BG35" s="19"/>
      <c r="BH35" s="19"/>
      <c r="BJ35" s="19"/>
      <c r="BK35" s="19"/>
      <c r="BL35" s="19"/>
      <c r="BN35" s="19"/>
      <c r="BO35" s="19"/>
      <c r="BP35" s="19"/>
      <c r="BR35" s="19"/>
      <c r="BS35" s="19"/>
      <c r="BT35" s="19"/>
      <c r="BV35" s="19"/>
      <c r="BW35" s="19"/>
      <c r="BX35" s="19"/>
      <c r="BZ35" s="19"/>
      <c r="CA35" s="19"/>
      <c r="CB35" s="19"/>
    </row>
    <row r="36" spans="2:110" x14ac:dyDescent="0.15">
      <c r="R36" s="19"/>
      <c r="S36" s="19"/>
      <c r="T36" s="19"/>
      <c r="V36" s="20"/>
      <c r="W36" s="20"/>
      <c r="X36" s="20"/>
      <c r="Z36" s="19"/>
      <c r="AA36" s="19"/>
      <c r="AB36" s="19"/>
      <c r="AD36" s="19"/>
      <c r="AE36" s="19"/>
      <c r="AF36" s="19"/>
      <c r="AH36" s="19"/>
      <c r="AI36" s="19"/>
      <c r="AJ36" s="19"/>
      <c r="AL36" s="19"/>
      <c r="AM36" s="19"/>
      <c r="AN36" s="19"/>
      <c r="AP36" s="19"/>
      <c r="AQ36" s="19"/>
      <c r="AR36" s="19"/>
      <c r="AT36" s="19"/>
      <c r="AU36" s="19"/>
      <c r="AV36" s="19"/>
      <c r="AX36" s="19"/>
      <c r="AY36" s="19"/>
      <c r="AZ36" s="19"/>
      <c r="BB36" s="19"/>
      <c r="BC36" s="19"/>
      <c r="BD36" s="19"/>
      <c r="BF36" s="19"/>
      <c r="BG36" s="19"/>
      <c r="BH36" s="19"/>
      <c r="BJ36" s="19"/>
      <c r="BK36" s="19"/>
      <c r="BL36" s="19"/>
      <c r="BN36" s="19"/>
      <c r="BO36" s="19"/>
      <c r="BP36" s="19"/>
      <c r="BR36" s="19"/>
      <c r="BS36" s="19"/>
      <c r="BT36" s="19"/>
      <c r="BV36" s="19"/>
      <c r="BW36" s="19"/>
      <c r="BX36" s="19"/>
      <c r="BZ36" s="19"/>
      <c r="CA36" s="19"/>
      <c r="CB36" s="19"/>
    </row>
    <row r="37" spans="2:110" x14ac:dyDescent="0.15">
      <c r="R37" s="19"/>
      <c r="S37" s="19"/>
      <c r="T37" s="19"/>
      <c r="V37" s="20"/>
      <c r="W37" s="20"/>
      <c r="X37" s="20"/>
      <c r="Z37" s="19"/>
      <c r="AA37" s="19"/>
      <c r="AB37" s="19"/>
      <c r="AD37" s="19"/>
      <c r="AE37" s="19"/>
      <c r="AF37" s="19"/>
      <c r="AH37" s="19"/>
      <c r="AI37" s="19"/>
      <c r="AJ37" s="19"/>
      <c r="AL37" s="19"/>
      <c r="AM37" s="19"/>
      <c r="AN37" s="19"/>
      <c r="AP37" s="19"/>
      <c r="AQ37" s="19"/>
      <c r="AR37" s="19"/>
      <c r="AT37" s="19"/>
      <c r="AU37" s="19"/>
      <c r="AV37" s="19"/>
      <c r="AX37" s="19"/>
      <c r="AY37" s="19"/>
      <c r="AZ37" s="19"/>
      <c r="BB37" s="19"/>
      <c r="BC37" s="19"/>
      <c r="BD37" s="19"/>
      <c r="BF37" s="19"/>
      <c r="BG37" s="19"/>
      <c r="BH37" s="19"/>
      <c r="BJ37" s="19"/>
      <c r="BK37" s="19"/>
      <c r="BL37" s="19"/>
      <c r="BN37" s="19"/>
      <c r="BO37" s="19"/>
      <c r="BP37" s="19"/>
      <c r="BR37" s="19"/>
      <c r="BS37" s="19"/>
      <c r="BT37" s="19"/>
      <c r="BV37" s="19"/>
      <c r="BW37" s="19"/>
      <c r="BX37" s="19"/>
      <c r="BZ37" s="19"/>
      <c r="CA37" s="19"/>
      <c r="CB37" s="19"/>
    </row>
    <row r="38" spans="2:110" x14ac:dyDescent="0.15">
      <c r="AV38" s="19"/>
      <c r="AW38" s="19"/>
      <c r="AX38" s="19"/>
      <c r="AZ38" s="20"/>
      <c r="BA38" s="20"/>
      <c r="BB38" s="20"/>
      <c r="BD38" s="19"/>
      <c r="BE38" s="19"/>
      <c r="BF38" s="19"/>
      <c r="BH38" s="19"/>
      <c r="BI38" s="19"/>
      <c r="BJ38" s="19"/>
      <c r="BL38" s="19"/>
      <c r="BM38" s="19"/>
      <c r="BN38" s="19"/>
      <c r="BP38" s="19"/>
      <c r="BQ38" s="19"/>
      <c r="BR38" s="19"/>
      <c r="BT38" s="19"/>
      <c r="BU38" s="19"/>
      <c r="BV38" s="19"/>
      <c r="BX38" s="19"/>
      <c r="BY38" s="19"/>
      <c r="BZ38" s="19"/>
      <c r="CB38" s="19"/>
      <c r="CC38" s="19"/>
      <c r="CD38" s="19"/>
      <c r="CF38" s="19"/>
      <c r="CG38" s="19"/>
      <c r="CH38" s="19"/>
      <c r="CJ38" s="19"/>
      <c r="CK38" s="19"/>
      <c r="CL38" s="19"/>
      <c r="CN38" s="19"/>
      <c r="CO38" s="19"/>
      <c r="CP38" s="19"/>
      <c r="CR38" s="19"/>
      <c r="CS38" s="19"/>
      <c r="CT38" s="19"/>
      <c r="CV38" s="19"/>
      <c r="CW38" s="19"/>
      <c r="CX38" s="19"/>
      <c r="CZ38" s="19"/>
      <c r="DA38" s="19"/>
      <c r="DB38" s="19"/>
      <c r="DD38" s="19"/>
      <c r="DE38" s="19"/>
      <c r="DF38" s="19"/>
    </row>
    <row r="39" spans="2:110" x14ac:dyDescent="0.15">
      <c r="AV39" s="19"/>
      <c r="AW39" s="19"/>
      <c r="AX39" s="19"/>
      <c r="AZ39" s="20"/>
      <c r="BA39" s="20"/>
      <c r="BB39" s="20"/>
      <c r="BD39" s="19"/>
      <c r="BE39" s="19"/>
      <c r="BF39" s="19"/>
      <c r="BH39" s="19"/>
      <c r="BI39" s="19"/>
      <c r="BJ39" s="19"/>
      <c r="BL39" s="19"/>
      <c r="BM39" s="19"/>
      <c r="BN39" s="19"/>
      <c r="BP39" s="19"/>
      <c r="BQ39" s="19"/>
      <c r="BR39" s="19"/>
      <c r="BT39" s="19"/>
      <c r="BU39" s="19"/>
      <c r="BV39" s="19"/>
      <c r="BX39" s="19"/>
      <c r="BY39" s="19"/>
      <c r="BZ39" s="19"/>
      <c r="CB39" s="19"/>
      <c r="CC39" s="19"/>
      <c r="CD39" s="19"/>
      <c r="CF39" s="19"/>
      <c r="CG39" s="19"/>
      <c r="CH39" s="19"/>
      <c r="CJ39" s="19"/>
      <c r="CK39" s="19"/>
      <c r="CL39" s="19"/>
      <c r="CN39" s="19"/>
      <c r="CO39" s="19"/>
      <c r="CP39" s="19"/>
      <c r="CR39" s="19"/>
      <c r="CS39" s="19"/>
      <c r="CT39" s="19"/>
      <c r="CV39" s="19"/>
      <c r="CW39" s="19"/>
      <c r="CX39" s="19"/>
      <c r="CZ39" s="19"/>
      <c r="DA39" s="19"/>
      <c r="DB39" s="19"/>
      <c r="DD39" s="19"/>
      <c r="DE39" s="19"/>
      <c r="DF39" s="19"/>
    </row>
    <row r="40" spans="2:110" x14ac:dyDescent="0.15">
      <c r="AV40" s="19"/>
      <c r="AW40" s="19"/>
      <c r="AX40" s="19"/>
      <c r="AZ40" s="20"/>
      <c r="BA40" s="20"/>
      <c r="BB40" s="20"/>
      <c r="BD40" s="19"/>
      <c r="BE40" s="19"/>
      <c r="BF40" s="19"/>
      <c r="BH40" s="19"/>
      <c r="BI40" s="19"/>
      <c r="BJ40" s="19"/>
      <c r="BL40" s="19"/>
      <c r="BM40" s="19"/>
      <c r="BN40" s="19"/>
      <c r="BP40" s="19"/>
      <c r="BQ40" s="19"/>
      <c r="BR40" s="19"/>
      <c r="BT40" s="19"/>
      <c r="BU40" s="19"/>
      <c r="BV40" s="19"/>
      <c r="BX40" s="19"/>
      <c r="BY40" s="19"/>
      <c r="BZ40" s="19"/>
      <c r="CB40" s="19"/>
      <c r="CC40" s="19"/>
      <c r="CD40" s="19"/>
      <c r="CF40" s="19"/>
      <c r="CG40" s="19"/>
      <c r="CH40" s="19"/>
      <c r="CJ40" s="19"/>
      <c r="CK40" s="19"/>
      <c r="CL40" s="19"/>
      <c r="CN40" s="19"/>
      <c r="CO40" s="19"/>
      <c r="CP40" s="19"/>
      <c r="CR40" s="19"/>
      <c r="CS40" s="19"/>
      <c r="CT40" s="19"/>
      <c r="CV40" s="19"/>
      <c r="CW40" s="19"/>
      <c r="CX40" s="19"/>
      <c r="CZ40" s="19"/>
      <c r="DA40" s="19"/>
      <c r="DB40" s="19"/>
      <c r="DD40" s="19"/>
      <c r="DE40" s="19"/>
      <c r="DF40" s="19"/>
    </row>
    <row r="41" spans="2:110" x14ac:dyDescent="0.15">
      <c r="AV41" s="19"/>
      <c r="AW41" s="19"/>
      <c r="AX41" s="19"/>
      <c r="AZ41" s="20"/>
      <c r="BA41" s="20"/>
      <c r="BB41" s="20"/>
      <c r="BD41" s="19"/>
      <c r="BE41" s="19"/>
      <c r="BF41" s="19"/>
      <c r="BH41" s="19"/>
      <c r="BI41" s="19"/>
      <c r="BJ41" s="19"/>
      <c r="BL41" s="19"/>
      <c r="BM41" s="19"/>
      <c r="BN41" s="19"/>
      <c r="BP41" s="19"/>
      <c r="BQ41" s="19"/>
      <c r="BR41" s="19"/>
      <c r="BT41" s="19"/>
      <c r="BU41" s="19"/>
      <c r="BV41" s="19"/>
      <c r="BX41" s="19"/>
      <c r="BY41" s="19"/>
      <c r="BZ41" s="19"/>
      <c r="CB41" s="19"/>
      <c r="CC41" s="19"/>
      <c r="CD41" s="19"/>
      <c r="CF41" s="19"/>
      <c r="CG41" s="19"/>
      <c r="CH41" s="19"/>
      <c r="CJ41" s="19"/>
      <c r="CK41" s="19"/>
      <c r="CL41" s="19"/>
      <c r="CN41" s="19"/>
      <c r="CO41" s="19"/>
      <c r="CP41" s="19"/>
      <c r="CR41" s="19"/>
      <c r="CS41" s="19"/>
      <c r="CT41" s="19"/>
      <c r="CV41" s="19"/>
      <c r="CW41" s="19"/>
      <c r="CX41" s="19"/>
      <c r="CZ41" s="19"/>
      <c r="DA41" s="19"/>
      <c r="DB41" s="19"/>
      <c r="DD41" s="19"/>
      <c r="DE41" s="19"/>
      <c r="DF41" s="19"/>
    </row>
    <row r="42" spans="2:110" x14ac:dyDescent="0.15">
      <c r="AV42" s="19"/>
      <c r="AW42" s="19"/>
      <c r="AX42" s="19"/>
      <c r="AZ42" s="20"/>
      <c r="BA42" s="20"/>
      <c r="BB42" s="20"/>
      <c r="BD42" s="19"/>
      <c r="BE42" s="19"/>
      <c r="BF42" s="19"/>
      <c r="BH42" s="19"/>
      <c r="BI42" s="19"/>
      <c r="BJ42" s="19"/>
      <c r="BL42" s="19"/>
      <c r="BM42" s="19"/>
      <c r="BN42" s="19"/>
      <c r="BP42" s="19"/>
      <c r="BQ42" s="19"/>
      <c r="BR42" s="19"/>
      <c r="BT42" s="19"/>
      <c r="BU42" s="19"/>
      <c r="BV42" s="19"/>
      <c r="BX42" s="19"/>
      <c r="BY42" s="19"/>
      <c r="BZ42" s="19"/>
      <c r="CB42" s="19"/>
      <c r="CC42" s="19"/>
      <c r="CD42" s="19"/>
      <c r="CF42" s="19"/>
      <c r="CG42" s="19"/>
      <c r="CH42" s="19"/>
      <c r="CJ42" s="19"/>
      <c r="CK42" s="19"/>
      <c r="CL42" s="19"/>
      <c r="CN42" s="19"/>
      <c r="CO42" s="19"/>
      <c r="CP42" s="19"/>
      <c r="CR42" s="19"/>
      <c r="CS42" s="19"/>
      <c r="CT42" s="19"/>
      <c r="CV42" s="19"/>
      <c r="CW42" s="19"/>
      <c r="CX42" s="19"/>
      <c r="CZ42" s="19"/>
      <c r="DA42" s="19"/>
      <c r="DB42" s="19"/>
      <c r="DD42" s="19"/>
      <c r="DE42" s="19"/>
      <c r="DF42" s="19"/>
    </row>
    <row r="43" spans="2:110" x14ac:dyDescent="0.15">
      <c r="B43" s="4"/>
      <c r="C43" s="4"/>
      <c r="D43" s="4"/>
      <c r="E43" s="4"/>
      <c r="H43" s="4"/>
      <c r="I43" s="4"/>
      <c r="J43" s="4"/>
      <c r="AV43" s="19"/>
      <c r="AW43" s="19"/>
      <c r="AX43" s="19"/>
      <c r="AZ43" s="20"/>
      <c r="BA43" s="20"/>
      <c r="BB43" s="20"/>
      <c r="BD43" s="19"/>
      <c r="BE43" s="19"/>
      <c r="BF43" s="19"/>
      <c r="BH43" s="19"/>
      <c r="BI43" s="19"/>
      <c r="BJ43" s="19"/>
      <c r="BL43" s="19"/>
      <c r="BM43" s="19"/>
      <c r="BN43" s="19"/>
      <c r="BP43" s="19"/>
      <c r="BQ43" s="19"/>
      <c r="BR43" s="19"/>
      <c r="BT43" s="19"/>
      <c r="BU43" s="19"/>
      <c r="BV43" s="19"/>
      <c r="BX43" s="19"/>
      <c r="BY43" s="19"/>
      <c r="BZ43" s="19"/>
      <c r="CB43" s="19"/>
      <c r="CC43" s="19"/>
      <c r="CD43" s="19"/>
      <c r="CF43" s="19"/>
      <c r="CG43" s="19"/>
      <c r="CH43" s="19"/>
      <c r="CJ43" s="19"/>
      <c r="CK43" s="19"/>
      <c r="CL43" s="19"/>
      <c r="CN43" s="19"/>
      <c r="CO43" s="19"/>
      <c r="CP43" s="19"/>
      <c r="CR43" s="19"/>
      <c r="CS43" s="19"/>
      <c r="CT43" s="19"/>
      <c r="CV43" s="19"/>
      <c r="CW43" s="19"/>
      <c r="CX43" s="19"/>
      <c r="CZ43" s="19"/>
      <c r="DA43" s="19"/>
      <c r="DB43" s="19"/>
      <c r="DD43" s="19"/>
      <c r="DE43" s="19"/>
      <c r="DF43" s="19"/>
    </row>
    <row r="44" spans="2:110" x14ac:dyDescent="0.15">
      <c r="AV44" s="19"/>
      <c r="AW44" s="19"/>
      <c r="AX44" s="19"/>
      <c r="AZ44" s="20"/>
      <c r="BA44" s="20"/>
      <c r="BB44" s="20"/>
      <c r="BD44" s="19"/>
      <c r="BE44" s="19"/>
      <c r="BF44" s="19"/>
      <c r="BH44" s="19"/>
      <c r="BI44" s="19"/>
      <c r="BJ44" s="19"/>
      <c r="BL44" s="19"/>
      <c r="BM44" s="19"/>
      <c r="BN44" s="19"/>
      <c r="BP44" s="19"/>
      <c r="BQ44" s="19"/>
      <c r="BR44" s="19"/>
      <c r="BT44" s="19"/>
      <c r="BU44" s="19"/>
      <c r="BV44" s="19"/>
      <c r="BX44" s="19"/>
      <c r="BY44" s="19"/>
      <c r="BZ44" s="19"/>
      <c r="CB44" s="19"/>
      <c r="CC44" s="19"/>
      <c r="CD44" s="19"/>
      <c r="CF44" s="19"/>
      <c r="CG44" s="19"/>
      <c r="CH44" s="19"/>
      <c r="CJ44" s="19"/>
      <c r="CK44" s="19"/>
      <c r="CL44" s="19"/>
      <c r="CN44" s="19"/>
      <c r="CO44" s="19"/>
      <c r="CP44" s="19"/>
      <c r="CR44" s="19"/>
      <c r="CS44" s="19"/>
      <c r="CT44" s="19"/>
      <c r="CV44" s="19"/>
      <c r="CW44" s="19"/>
      <c r="CX44" s="19"/>
      <c r="CZ44" s="19"/>
      <c r="DA44" s="19"/>
      <c r="DB44" s="19"/>
      <c r="DD44" s="19"/>
      <c r="DE44" s="19"/>
      <c r="DF44" s="19"/>
    </row>
    <row r="45" spans="2:110" x14ac:dyDescent="0.15">
      <c r="AV45" s="19"/>
      <c r="AW45" s="19"/>
      <c r="AX45" s="19"/>
      <c r="AZ45" s="20"/>
      <c r="BA45" s="20"/>
      <c r="BB45" s="20"/>
      <c r="BD45" s="19"/>
      <c r="BE45" s="19"/>
      <c r="BF45" s="19"/>
      <c r="BH45" s="19"/>
      <c r="BI45" s="19"/>
      <c r="BJ45" s="19"/>
      <c r="BL45" s="19"/>
      <c r="BM45" s="19"/>
      <c r="BN45" s="19"/>
      <c r="BP45" s="19"/>
      <c r="BQ45" s="19"/>
      <c r="BR45" s="19"/>
      <c r="BT45" s="19"/>
      <c r="BU45" s="19"/>
      <c r="BV45" s="19"/>
      <c r="BX45" s="19"/>
      <c r="BY45" s="19"/>
      <c r="BZ45" s="19"/>
      <c r="CB45" s="19"/>
      <c r="CC45" s="19"/>
      <c r="CD45" s="19"/>
      <c r="CF45" s="19"/>
      <c r="CG45" s="19"/>
      <c r="CH45" s="19"/>
      <c r="CJ45" s="19"/>
      <c r="CK45" s="19"/>
      <c r="CL45" s="19"/>
      <c r="CN45" s="19"/>
      <c r="CO45" s="19"/>
      <c r="CP45" s="19"/>
      <c r="CR45" s="19"/>
      <c r="CS45" s="19"/>
      <c r="CT45" s="19"/>
      <c r="CV45" s="19"/>
      <c r="CW45" s="19"/>
      <c r="CX45" s="19"/>
      <c r="CZ45" s="19"/>
      <c r="DA45" s="19"/>
      <c r="DB45" s="19"/>
      <c r="DD45" s="19"/>
      <c r="DE45" s="19"/>
      <c r="DF45" s="19"/>
    </row>
    <row r="46" spans="2:110" x14ac:dyDescent="0.15">
      <c r="AV46" s="19"/>
      <c r="AW46" s="19"/>
      <c r="AX46" s="19"/>
      <c r="AZ46" s="20"/>
      <c r="BA46" s="20"/>
      <c r="BB46" s="20"/>
      <c r="BD46" s="19"/>
      <c r="BE46" s="19"/>
      <c r="BF46" s="19"/>
      <c r="BH46" s="19"/>
      <c r="BI46" s="19"/>
      <c r="BJ46" s="19"/>
      <c r="BL46" s="19"/>
      <c r="BM46" s="19"/>
      <c r="BN46" s="19"/>
      <c r="BP46" s="19"/>
      <c r="BQ46" s="19"/>
      <c r="BR46" s="19"/>
      <c r="BT46" s="19"/>
      <c r="BU46" s="19"/>
      <c r="BV46" s="19"/>
      <c r="BX46" s="19"/>
      <c r="BY46" s="19"/>
      <c r="BZ46" s="19"/>
      <c r="CB46" s="19"/>
      <c r="CC46" s="19"/>
      <c r="CD46" s="19"/>
      <c r="CF46" s="19"/>
      <c r="CG46" s="19"/>
      <c r="CH46" s="19"/>
      <c r="CJ46" s="19"/>
      <c r="CK46" s="19"/>
      <c r="CL46" s="19"/>
      <c r="CN46" s="19"/>
      <c r="CO46" s="19"/>
      <c r="CP46" s="19"/>
      <c r="CR46" s="19"/>
      <c r="CS46" s="19"/>
      <c r="CT46" s="19"/>
      <c r="CV46" s="19"/>
      <c r="CW46" s="19"/>
      <c r="CX46" s="19"/>
      <c r="CZ46" s="19"/>
      <c r="DA46" s="19"/>
      <c r="DB46" s="19"/>
      <c r="DD46" s="19"/>
      <c r="DE46" s="19"/>
      <c r="DF46" s="19"/>
    </row>
    <row r="47" spans="2:110" x14ac:dyDescent="0.15">
      <c r="AV47" s="19"/>
      <c r="AW47" s="19"/>
      <c r="AX47" s="19"/>
      <c r="AZ47" s="20"/>
      <c r="BA47" s="20"/>
      <c r="BB47" s="20"/>
      <c r="BD47" s="19"/>
      <c r="BE47" s="19"/>
      <c r="BF47" s="19"/>
      <c r="BH47" s="19"/>
      <c r="BI47" s="19"/>
      <c r="BJ47" s="19"/>
      <c r="BL47" s="19"/>
      <c r="BM47" s="19"/>
      <c r="BN47" s="19"/>
      <c r="BP47" s="19"/>
      <c r="BQ47" s="19"/>
      <c r="BR47" s="19"/>
      <c r="BT47" s="19"/>
      <c r="BU47" s="19"/>
      <c r="BV47" s="19"/>
      <c r="BX47" s="19"/>
      <c r="BY47" s="19"/>
      <c r="BZ47" s="19"/>
      <c r="CB47" s="19"/>
      <c r="CC47" s="19"/>
      <c r="CD47" s="19"/>
      <c r="CF47" s="19"/>
      <c r="CG47" s="19"/>
      <c r="CH47" s="19"/>
      <c r="CJ47" s="19"/>
      <c r="CK47" s="19"/>
      <c r="CL47" s="19"/>
      <c r="CN47" s="19"/>
      <c r="CO47" s="19"/>
      <c r="CP47" s="19"/>
      <c r="CR47" s="19"/>
      <c r="CS47" s="19"/>
      <c r="CT47" s="19"/>
      <c r="CV47" s="19"/>
      <c r="CW47" s="19"/>
      <c r="CX47" s="19"/>
      <c r="CZ47" s="19"/>
      <c r="DA47" s="19"/>
      <c r="DB47" s="19"/>
      <c r="DD47" s="19"/>
      <c r="DE47" s="19"/>
      <c r="DF47" s="19"/>
    </row>
    <row r="48" spans="2:110" x14ac:dyDescent="0.15">
      <c r="AV48" s="19"/>
      <c r="AW48" s="19"/>
      <c r="AX48" s="19"/>
      <c r="AZ48" s="20"/>
      <c r="BA48" s="20"/>
      <c r="BB48" s="20"/>
      <c r="BD48" s="19"/>
      <c r="BE48" s="19"/>
      <c r="BF48" s="19"/>
      <c r="BH48" s="19"/>
      <c r="BI48" s="19"/>
      <c r="BJ48" s="19"/>
      <c r="BL48" s="19"/>
      <c r="BM48" s="19"/>
      <c r="BN48" s="19"/>
      <c r="BP48" s="19"/>
      <c r="BQ48" s="19"/>
      <c r="BR48" s="19"/>
      <c r="BT48" s="19"/>
      <c r="BU48" s="19"/>
      <c r="BV48" s="19"/>
      <c r="BX48" s="19"/>
      <c r="BY48" s="19"/>
      <c r="BZ48" s="19"/>
      <c r="CB48" s="19"/>
      <c r="CC48" s="19"/>
      <c r="CD48" s="19"/>
      <c r="CF48" s="19"/>
      <c r="CG48" s="19"/>
      <c r="CH48" s="19"/>
      <c r="CJ48" s="19"/>
      <c r="CK48" s="19"/>
      <c r="CL48" s="19"/>
      <c r="CN48" s="19"/>
      <c r="CO48" s="19"/>
      <c r="CP48" s="19"/>
      <c r="CR48" s="19"/>
      <c r="CS48" s="19"/>
      <c r="CT48" s="19"/>
      <c r="CV48" s="19"/>
      <c r="CW48" s="19"/>
      <c r="CX48" s="19"/>
      <c r="CZ48" s="19"/>
      <c r="DA48" s="19"/>
      <c r="DB48" s="19"/>
      <c r="DD48" s="19"/>
      <c r="DE48" s="19"/>
      <c r="DF48" s="19"/>
    </row>
    <row r="49" spans="1:110" x14ac:dyDescent="0.15">
      <c r="AV49" s="19"/>
      <c r="AW49" s="19"/>
      <c r="AX49" s="19"/>
      <c r="AZ49" s="20"/>
      <c r="BA49" s="20"/>
      <c r="BB49" s="20"/>
      <c r="BD49" s="19"/>
      <c r="BE49" s="19"/>
      <c r="BF49" s="19"/>
      <c r="BH49" s="19"/>
      <c r="BI49" s="19"/>
      <c r="BJ49" s="19"/>
      <c r="BL49" s="19"/>
      <c r="BM49" s="19"/>
      <c r="BN49" s="19"/>
      <c r="BP49" s="19"/>
      <c r="BQ49" s="19"/>
      <c r="BR49" s="19"/>
      <c r="BT49" s="19"/>
      <c r="BU49" s="19"/>
      <c r="BV49" s="19"/>
      <c r="BX49" s="19"/>
      <c r="BY49" s="19"/>
      <c r="BZ49" s="19"/>
      <c r="CB49" s="19"/>
      <c r="CC49" s="19"/>
      <c r="CD49" s="19"/>
      <c r="CF49" s="19"/>
      <c r="CG49" s="19"/>
      <c r="CH49" s="19"/>
      <c r="CJ49" s="19"/>
      <c r="CK49" s="19"/>
      <c r="CL49" s="19"/>
      <c r="CN49" s="19"/>
      <c r="CO49" s="19"/>
      <c r="CP49" s="19"/>
      <c r="CR49" s="19"/>
      <c r="CS49" s="19"/>
      <c r="CT49" s="19"/>
      <c r="CV49" s="19"/>
      <c r="CW49" s="19"/>
      <c r="CX49" s="19"/>
      <c r="CZ49" s="19"/>
      <c r="DA49" s="19"/>
      <c r="DB49" s="19"/>
      <c r="DD49" s="19"/>
      <c r="DE49" s="19"/>
      <c r="DF49" s="19"/>
    </row>
    <row r="50" spans="1:110" x14ac:dyDescent="0.15">
      <c r="AV50" s="19"/>
      <c r="AW50" s="19"/>
      <c r="AX50" s="19"/>
      <c r="AZ50" s="20"/>
      <c r="BA50" s="20"/>
      <c r="BB50" s="20"/>
      <c r="BD50" s="19"/>
      <c r="BE50" s="19"/>
      <c r="BF50" s="19"/>
      <c r="BH50" s="19"/>
      <c r="BI50" s="19"/>
      <c r="BJ50" s="19"/>
      <c r="BL50" s="19"/>
      <c r="BM50" s="19"/>
      <c r="BN50" s="19"/>
      <c r="BP50" s="19"/>
      <c r="BQ50" s="19"/>
      <c r="BR50" s="19"/>
      <c r="BT50" s="19"/>
      <c r="BU50" s="19"/>
      <c r="BV50" s="19"/>
      <c r="BX50" s="19"/>
      <c r="BY50" s="19"/>
      <c r="BZ50" s="19"/>
      <c r="CB50" s="19"/>
      <c r="CC50" s="19"/>
      <c r="CD50" s="19"/>
      <c r="CF50" s="19"/>
      <c r="CG50" s="19"/>
      <c r="CH50" s="19"/>
      <c r="CJ50" s="19"/>
      <c r="CK50" s="19"/>
      <c r="CL50" s="19"/>
      <c r="CN50" s="19"/>
      <c r="CO50" s="19"/>
      <c r="CP50" s="19"/>
      <c r="CR50" s="19"/>
      <c r="CS50" s="19"/>
      <c r="CT50" s="19"/>
      <c r="CV50" s="19"/>
      <c r="CW50" s="19"/>
      <c r="CX50" s="19"/>
      <c r="CZ50" s="19"/>
      <c r="DA50" s="19"/>
      <c r="DB50" s="19"/>
      <c r="DD50" s="19"/>
      <c r="DE50" s="19"/>
      <c r="DF50" s="19"/>
    </row>
    <row r="51" spans="1:110" x14ac:dyDescent="0.15">
      <c r="AV51" s="19"/>
      <c r="AW51" s="19"/>
      <c r="AX51" s="19"/>
      <c r="AZ51" s="20"/>
      <c r="BA51" s="20"/>
      <c r="BB51" s="20"/>
      <c r="BD51" s="19"/>
      <c r="BE51" s="19"/>
      <c r="BF51" s="19"/>
      <c r="BH51" s="19"/>
      <c r="BI51" s="19"/>
      <c r="BJ51" s="19"/>
      <c r="BL51" s="19"/>
      <c r="BM51" s="19"/>
      <c r="BN51" s="19"/>
      <c r="BP51" s="19"/>
      <c r="BQ51" s="19"/>
      <c r="BR51" s="19"/>
      <c r="BT51" s="19"/>
      <c r="BU51" s="19"/>
      <c r="BV51" s="19"/>
      <c r="BX51" s="19"/>
      <c r="BY51" s="19"/>
      <c r="BZ51" s="19"/>
      <c r="CB51" s="19"/>
      <c r="CC51" s="19"/>
      <c r="CD51" s="19"/>
      <c r="CF51" s="19"/>
      <c r="CG51" s="19"/>
      <c r="CH51" s="19"/>
      <c r="CJ51" s="19"/>
      <c r="CK51" s="19"/>
      <c r="CL51" s="19"/>
      <c r="CN51" s="19"/>
      <c r="CO51" s="19"/>
      <c r="CP51" s="19"/>
      <c r="CR51" s="19"/>
      <c r="CS51" s="19"/>
      <c r="CT51" s="19"/>
      <c r="CV51" s="19"/>
      <c r="CW51" s="19"/>
      <c r="CX51" s="19"/>
      <c r="CZ51" s="19"/>
      <c r="DA51" s="19"/>
      <c r="DB51" s="19"/>
      <c r="DD51" s="19"/>
      <c r="DE51" s="19"/>
      <c r="DF51" s="19"/>
    </row>
    <row r="52" spans="1:110" x14ac:dyDescent="0.15">
      <c r="AV52" s="19"/>
      <c r="AW52" s="19"/>
      <c r="AX52" s="19"/>
      <c r="AZ52" s="20"/>
      <c r="BA52" s="20"/>
      <c r="BB52" s="20"/>
      <c r="BD52" s="19"/>
      <c r="BE52" s="19"/>
      <c r="BF52" s="19"/>
      <c r="BH52" s="19"/>
      <c r="BI52" s="19"/>
      <c r="BJ52" s="19"/>
      <c r="BL52" s="19"/>
      <c r="BM52" s="19"/>
      <c r="BN52" s="19"/>
      <c r="BP52" s="19"/>
      <c r="BQ52" s="19"/>
      <c r="BR52" s="19"/>
      <c r="BT52" s="19"/>
      <c r="BU52" s="19"/>
      <c r="BV52" s="19"/>
      <c r="BX52" s="19"/>
      <c r="BY52" s="19"/>
      <c r="BZ52" s="19"/>
      <c r="CB52" s="19"/>
      <c r="CC52" s="19"/>
      <c r="CD52" s="19"/>
      <c r="CF52" s="19"/>
      <c r="CG52" s="19"/>
      <c r="CH52" s="19"/>
      <c r="CJ52" s="19"/>
      <c r="CK52" s="19"/>
      <c r="CL52" s="19"/>
      <c r="CN52" s="19"/>
      <c r="CO52" s="19"/>
      <c r="CP52" s="19"/>
      <c r="CR52" s="19"/>
      <c r="CS52" s="19"/>
      <c r="CT52" s="19"/>
      <c r="CV52" s="19"/>
      <c r="CW52" s="19"/>
      <c r="CX52" s="19"/>
      <c r="CZ52" s="19"/>
      <c r="DA52" s="19"/>
      <c r="DB52" s="19"/>
      <c r="DD52" s="19"/>
      <c r="DE52" s="19"/>
      <c r="DF52" s="19"/>
    </row>
    <row r="53" spans="1:110" x14ac:dyDescent="0.15">
      <c r="AV53" s="19"/>
      <c r="AW53" s="19"/>
      <c r="AX53" s="19"/>
      <c r="AZ53" s="20"/>
      <c r="BA53" s="20"/>
      <c r="BB53" s="20"/>
      <c r="BD53" s="19"/>
      <c r="BE53" s="19"/>
      <c r="BF53" s="19"/>
      <c r="BH53" s="19"/>
      <c r="BI53" s="19"/>
      <c r="BJ53" s="19"/>
      <c r="BL53" s="19"/>
      <c r="BM53" s="19"/>
      <c r="BN53" s="19"/>
      <c r="BP53" s="19"/>
      <c r="BQ53" s="19"/>
      <c r="BR53" s="19"/>
      <c r="BT53" s="19"/>
      <c r="BU53" s="19"/>
      <c r="BV53" s="19"/>
      <c r="BX53" s="19"/>
      <c r="BY53" s="19"/>
      <c r="BZ53" s="19"/>
      <c r="CB53" s="19"/>
      <c r="CC53" s="19"/>
      <c r="CD53" s="19"/>
      <c r="CF53" s="19"/>
      <c r="CG53" s="19"/>
      <c r="CH53" s="19"/>
      <c r="CJ53" s="19"/>
      <c r="CK53" s="19"/>
      <c r="CL53" s="19"/>
      <c r="CN53" s="19"/>
      <c r="CO53" s="19"/>
      <c r="CP53" s="19"/>
      <c r="CR53" s="19"/>
      <c r="CS53" s="19"/>
      <c r="CT53" s="19"/>
      <c r="CV53" s="19"/>
      <c r="CW53" s="19"/>
      <c r="CX53" s="19"/>
      <c r="CZ53" s="19"/>
      <c r="DA53" s="19"/>
      <c r="DB53" s="19"/>
      <c r="DD53" s="19"/>
      <c r="DE53" s="19"/>
      <c r="DF53" s="19"/>
    </row>
    <row r="54" spans="1:110" x14ac:dyDescent="0.15">
      <c r="AV54" s="19"/>
      <c r="AW54" s="19"/>
      <c r="AX54" s="19"/>
      <c r="AZ54" s="20"/>
      <c r="BA54" s="20"/>
      <c r="BB54" s="20"/>
      <c r="BD54" s="19"/>
      <c r="BE54" s="19"/>
      <c r="BF54" s="19"/>
      <c r="BH54" s="19"/>
      <c r="BI54" s="19"/>
      <c r="BJ54" s="19"/>
      <c r="BL54" s="19"/>
      <c r="BM54" s="19"/>
      <c r="BN54" s="19"/>
      <c r="BP54" s="19"/>
      <c r="BQ54" s="19"/>
      <c r="BR54" s="19"/>
      <c r="BT54" s="19"/>
      <c r="BU54" s="19"/>
      <c r="BV54" s="19"/>
      <c r="BX54" s="19"/>
      <c r="BY54" s="19"/>
      <c r="BZ54" s="19"/>
      <c r="CB54" s="19"/>
      <c r="CC54" s="19"/>
      <c r="CD54" s="19"/>
      <c r="CF54" s="19"/>
      <c r="CG54" s="19"/>
      <c r="CH54" s="19"/>
      <c r="CJ54" s="19"/>
      <c r="CK54" s="19"/>
      <c r="CL54" s="19"/>
      <c r="CN54" s="19"/>
      <c r="CO54" s="19"/>
      <c r="CP54" s="19"/>
      <c r="CR54" s="19"/>
      <c r="CS54" s="19"/>
      <c r="CT54" s="19"/>
      <c r="CV54" s="19"/>
      <c r="CW54" s="19"/>
      <c r="CX54" s="19"/>
      <c r="CZ54" s="19"/>
      <c r="DA54" s="19"/>
      <c r="DB54" s="19"/>
      <c r="DD54" s="19"/>
      <c r="DE54" s="19"/>
      <c r="DF54" s="19"/>
    </row>
    <row r="55" spans="1:110" x14ac:dyDescent="0.15">
      <c r="AV55" s="19"/>
      <c r="AW55" s="19"/>
      <c r="AX55" s="19"/>
      <c r="AZ55" s="20"/>
      <c r="BA55" s="20"/>
      <c r="BB55" s="20"/>
      <c r="BD55" s="19"/>
      <c r="BE55" s="19"/>
      <c r="BF55" s="19"/>
      <c r="BH55" s="19"/>
      <c r="BI55" s="19"/>
      <c r="BJ55" s="19"/>
      <c r="BL55" s="19"/>
      <c r="BM55" s="19"/>
      <c r="BN55" s="19"/>
      <c r="BP55" s="19"/>
      <c r="BQ55" s="19"/>
      <c r="BR55" s="19"/>
      <c r="BT55" s="19"/>
      <c r="BU55" s="19"/>
      <c r="BV55" s="19"/>
      <c r="BX55" s="19"/>
      <c r="BY55" s="19"/>
      <c r="BZ55" s="19"/>
      <c r="CB55" s="19"/>
      <c r="CC55" s="19"/>
      <c r="CD55" s="19"/>
      <c r="CF55" s="19"/>
      <c r="CG55" s="19"/>
      <c r="CH55" s="19"/>
      <c r="CJ55" s="19"/>
      <c r="CK55" s="19"/>
      <c r="CL55" s="19"/>
      <c r="CN55" s="19"/>
      <c r="CO55" s="19"/>
      <c r="CP55" s="19"/>
      <c r="CR55" s="19"/>
      <c r="CS55" s="19"/>
      <c r="CT55" s="19"/>
      <c r="CV55" s="19"/>
      <c r="CW55" s="19"/>
      <c r="CX55" s="19"/>
      <c r="CZ55" s="19"/>
      <c r="DA55" s="19"/>
      <c r="DB55" s="19"/>
      <c r="DD55" s="19"/>
      <c r="DE55" s="19"/>
      <c r="DF55" s="19"/>
    </row>
    <row r="56" spans="1:110" x14ac:dyDescent="0.15">
      <c r="AV56" s="19"/>
      <c r="AW56" s="19"/>
      <c r="AX56" s="19"/>
      <c r="AZ56" s="20"/>
      <c r="BA56" s="20"/>
      <c r="BB56" s="20"/>
      <c r="BD56" s="19"/>
      <c r="BE56" s="19"/>
      <c r="BF56" s="19"/>
      <c r="BH56" s="19"/>
      <c r="BI56" s="19"/>
      <c r="BJ56" s="19"/>
      <c r="BL56" s="19"/>
      <c r="BM56" s="19"/>
      <c r="BN56" s="19"/>
      <c r="BP56" s="19"/>
      <c r="BQ56" s="19"/>
      <c r="BR56" s="19"/>
      <c r="BT56" s="19"/>
      <c r="BU56" s="19"/>
      <c r="BV56" s="19"/>
      <c r="BX56" s="19"/>
      <c r="BY56" s="19"/>
      <c r="BZ56" s="19"/>
      <c r="CB56" s="19"/>
      <c r="CC56" s="19"/>
      <c r="CD56" s="19"/>
      <c r="CF56" s="19"/>
      <c r="CG56" s="19"/>
      <c r="CH56" s="19"/>
      <c r="CJ56" s="19"/>
      <c r="CK56" s="19"/>
      <c r="CL56" s="19"/>
      <c r="CN56" s="19"/>
      <c r="CO56" s="19"/>
      <c r="CP56" s="19"/>
      <c r="CR56" s="19"/>
      <c r="CS56" s="19"/>
      <c r="CT56" s="19"/>
      <c r="CV56" s="19"/>
      <c r="CW56" s="19"/>
      <c r="CX56" s="19"/>
      <c r="CZ56" s="19"/>
      <c r="DA56" s="19"/>
      <c r="DB56" s="19"/>
      <c r="DD56" s="19"/>
      <c r="DE56" s="19"/>
      <c r="DF56" s="19"/>
    </row>
    <row r="57" spans="1:110" x14ac:dyDescent="0.15">
      <c r="AV57" s="19"/>
      <c r="AW57" s="19"/>
      <c r="AX57" s="19"/>
      <c r="AZ57" s="20"/>
      <c r="BA57" s="20"/>
      <c r="BB57" s="20"/>
      <c r="BD57" s="19"/>
      <c r="BE57" s="19"/>
      <c r="BF57" s="19"/>
      <c r="BH57" s="19"/>
      <c r="BI57" s="19"/>
      <c r="BJ57" s="19"/>
      <c r="BL57" s="19"/>
      <c r="BM57" s="19"/>
      <c r="BN57" s="19"/>
      <c r="BP57" s="19"/>
      <c r="BQ57" s="19"/>
      <c r="BR57" s="19"/>
      <c r="BT57" s="19"/>
      <c r="BU57" s="19"/>
      <c r="BV57" s="19"/>
      <c r="BX57" s="19"/>
      <c r="BY57" s="19"/>
      <c r="BZ57" s="19"/>
      <c r="CB57" s="19"/>
      <c r="CC57" s="19"/>
      <c r="CD57" s="19"/>
      <c r="CF57" s="19"/>
      <c r="CG57" s="19"/>
      <c r="CH57" s="19"/>
      <c r="CJ57" s="19"/>
      <c r="CK57" s="19"/>
      <c r="CL57" s="19"/>
      <c r="CN57" s="19"/>
      <c r="CO57" s="19"/>
      <c r="CP57" s="19"/>
      <c r="CR57" s="19"/>
      <c r="CS57" s="19"/>
      <c r="CT57" s="19"/>
      <c r="CV57" s="19"/>
      <c r="CW57" s="19"/>
      <c r="CX57" s="19"/>
      <c r="CZ57" s="19"/>
      <c r="DA57" s="19"/>
      <c r="DB57" s="19"/>
      <c r="DD57" s="19"/>
      <c r="DE57" s="19"/>
      <c r="DF57" s="19"/>
    </row>
    <row r="58" spans="1:110" x14ac:dyDescent="0.15">
      <c r="AV58" s="19"/>
      <c r="AW58" s="19"/>
      <c r="AX58" s="19"/>
      <c r="AZ58" s="20"/>
      <c r="BA58" s="20"/>
      <c r="BB58" s="20"/>
      <c r="BD58" s="19"/>
      <c r="BE58" s="19"/>
      <c r="BF58" s="19"/>
      <c r="BH58" s="19"/>
      <c r="BI58" s="19"/>
      <c r="BJ58" s="19"/>
      <c r="BL58" s="19"/>
      <c r="BM58" s="19"/>
      <c r="BN58" s="19"/>
      <c r="BP58" s="19"/>
      <c r="BQ58" s="19"/>
      <c r="BR58" s="19"/>
      <c r="BT58" s="19"/>
      <c r="BU58" s="19"/>
      <c r="BV58" s="19"/>
      <c r="BX58" s="19"/>
      <c r="BY58" s="19"/>
      <c r="BZ58" s="19"/>
      <c r="CB58" s="19"/>
      <c r="CC58" s="19"/>
      <c r="CD58" s="19"/>
      <c r="CF58" s="19"/>
      <c r="CG58" s="19"/>
      <c r="CH58" s="19"/>
      <c r="CJ58" s="19"/>
      <c r="CK58" s="19"/>
      <c r="CL58" s="19"/>
      <c r="CN58" s="19"/>
      <c r="CO58" s="19"/>
      <c r="CP58" s="19"/>
      <c r="CR58" s="19"/>
      <c r="CS58" s="19"/>
      <c r="CT58" s="19"/>
      <c r="CV58" s="19"/>
      <c r="CW58" s="19"/>
      <c r="CX58" s="19"/>
      <c r="CZ58" s="19"/>
      <c r="DA58" s="19"/>
      <c r="DB58" s="19"/>
      <c r="DD58" s="19"/>
      <c r="DE58" s="19"/>
      <c r="DF58" s="19"/>
    </row>
    <row r="59" spans="1:110" x14ac:dyDescent="0.15">
      <c r="AV59" s="19"/>
      <c r="AW59" s="19"/>
      <c r="AX59" s="19"/>
      <c r="AZ59" s="20"/>
      <c r="BA59" s="20"/>
      <c r="BB59" s="20"/>
      <c r="BD59" s="19"/>
      <c r="BE59" s="19"/>
      <c r="BF59" s="19"/>
      <c r="BH59" s="19"/>
      <c r="BI59" s="19"/>
      <c r="BJ59" s="19"/>
      <c r="BL59" s="19"/>
      <c r="BM59" s="19"/>
      <c r="BN59" s="19"/>
      <c r="BP59" s="19"/>
      <c r="BQ59" s="19"/>
      <c r="BR59" s="19"/>
      <c r="BT59" s="19"/>
      <c r="BU59" s="19"/>
      <c r="BV59" s="19"/>
      <c r="BX59" s="19"/>
      <c r="BY59" s="19"/>
      <c r="BZ59" s="19"/>
      <c r="CB59" s="19"/>
      <c r="CC59" s="19"/>
      <c r="CD59" s="19"/>
      <c r="CF59" s="19"/>
      <c r="CG59" s="19"/>
      <c r="CH59" s="19"/>
      <c r="CJ59" s="19"/>
      <c r="CK59" s="19"/>
      <c r="CL59" s="19"/>
      <c r="CN59" s="19"/>
      <c r="CO59" s="19"/>
      <c r="CP59" s="19"/>
      <c r="CR59" s="19"/>
      <c r="CS59" s="19"/>
      <c r="CT59" s="19"/>
      <c r="CV59" s="19"/>
      <c r="CW59" s="19"/>
      <c r="CX59" s="19"/>
      <c r="CZ59" s="19"/>
      <c r="DA59" s="19"/>
      <c r="DB59" s="19"/>
      <c r="DD59" s="19"/>
      <c r="DE59" s="19"/>
      <c r="DF59" s="19"/>
    </row>
    <row r="60" spans="1:110" x14ac:dyDescent="0.15">
      <c r="AV60" s="19"/>
      <c r="AW60" s="19"/>
      <c r="AX60" s="19"/>
      <c r="AZ60" s="20"/>
      <c r="BA60" s="20"/>
      <c r="BB60" s="20"/>
      <c r="BD60" s="19"/>
      <c r="BE60" s="19"/>
      <c r="BF60" s="19"/>
      <c r="BH60" s="19"/>
      <c r="BI60" s="19"/>
      <c r="BJ60" s="19"/>
      <c r="BL60" s="19"/>
      <c r="BM60" s="19"/>
      <c r="BN60" s="19"/>
      <c r="BP60" s="19"/>
      <c r="BQ60" s="19"/>
      <c r="BR60" s="19"/>
      <c r="BT60" s="19"/>
      <c r="BU60" s="19"/>
      <c r="BV60" s="19"/>
      <c r="BX60" s="19"/>
      <c r="BY60" s="19"/>
      <c r="BZ60" s="19"/>
      <c r="CB60" s="19"/>
      <c r="CC60" s="19"/>
      <c r="CD60" s="19"/>
      <c r="CF60" s="19"/>
      <c r="CG60" s="19"/>
      <c r="CH60" s="19"/>
      <c r="CJ60" s="19"/>
      <c r="CK60" s="19"/>
      <c r="CL60" s="19"/>
      <c r="CN60" s="19"/>
      <c r="CO60" s="19"/>
      <c r="CP60" s="19"/>
      <c r="CR60" s="19"/>
      <c r="CS60" s="19"/>
      <c r="CT60" s="19"/>
      <c r="CV60" s="19"/>
      <c r="CW60" s="19"/>
      <c r="CX60" s="19"/>
      <c r="CZ60" s="19"/>
      <c r="DA60" s="19"/>
      <c r="DB60" s="19"/>
      <c r="DD60" s="19"/>
      <c r="DE60" s="19"/>
      <c r="DF60" s="19"/>
    </row>
    <row r="61" spans="1:110" x14ac:dyDescent="0.15">
      <c r="AV61" s="19"/>
      <c r="AW61" s="19"/>
      <c r="AX61" s="19"/>
      <c r="AZ61" s="20"/>
      <c r="BA61" s="20"/>
      <c r="BB61" s="20"/>
      <c r="BD61" s="19"/>
      <c r="BE61" s="19"/>
      <c r="BF61" s="19"/>
      <c r="BH61" s="19"/>
      <c r="BI61" s="19"/>
      <c r="BJ61" s="19"/>
      <c r="BL61" s="19"/>
      <c r="BM61" s="19"/>
      <c r="BN61" s="19"/>
      <c r="BP61" s="19"/>
      <c r="BQ61" s="19"/>
      <c r="BR61" s="19"/>
      <c r="BT61" s="19"/>
      <c r="BU61" s="19"/>
      <c r="BV61" s="19"/>
      <c r="BX61" s="19"/>
      <c r="BY61" s="19"/>
      <c r="BZ61" s="19"/>
      <c r="CB61" s="19"/>
      <c r="CC61" s="19"/>
      <c r="CD61" s="19"/>
      <c r="CF61" s="19"/>
      <c r="CG61" s="19"/>
      <c r="CH61" s="19"/>
      <c r="CJ61" s="19"/>
      <c r="CK61" s="19"/>
      <c r="CL61" s="19"/>
      <c r="CN61" s="19"/>
      <c r="CO61" s="19"/>
      <c r="CP61" s="19"/>
      <c r="CR61" s="19"/>
      <c r="CS61" s="19"/>
      <c r="CT61" s="19"/>
      <c r="CV61" s="19"/>
      <c r="CW61" s="19"/>
      <c r="CX61" s="19"/>
      <c r="CZ61" s="19"/>
      <c r="DA61" s="19"/>
      <c r="DB61" s="19"/>
      <c r="DD61" s="19"/>
      <c r="DE61" s="19"/>
      <c r="DF61" s="19"/>
    </row>
    <row r="62" spans="1:110" x14ac:dyDescent="0.15">
      <c r="AV62" s="19"/>
      <c r="AW62" s="19"/>
      <c r="AX62" s="19"/>
      <c r="AZ62" s="19"/>
      <c r="BA62" s="19"/>
      <c r="BB62" s="19"/>
      <c r="BD62" s="19"/>
      <c r="BE62" s="19"/>
      <c r="BF62" s="19"/>
      <c r="BH62" s="19"/>
      <c r="BI62" s="19"/>
      <c r="BJ62" s="19"/>
      <c r="BL62" s="19"/>
      <c r="BM62" s="19"/>
      <c r="BN62" s="19"/>
      <c r="BP62" s="19"/>
      <c r="BQ62" s="19"/>
      <c r="BR62" s="19"/>
      <c r="BT62" s="19"/>
      <c r="BU62" s="19"/>
      <c r="BV62" s="19"/>
      <c r="BX62" s="19"/>
      <c r="BY62" s="19"/>
      <c r="BZ62" s="19"/>
      <c r="CB62" s="19"/>
      <c r="CC62" s="19"/>
      <c r="CD62" s="19"/>
      <c r="CF62" s="19"/>
      <c r="CG62" s="19"/>
      <c r="CH62" s="19"/>
      <c r="CJ62" s="19"/>
      <c r="CK62" s="19"/>
      <c r="CL62" s="19"/>
      <c r="CN62" s="19"/>
      <c r="CO62" s="19"/>
      <c r="CP62" s="19"/>
      <c r="CR62" s="19"/>
      <c r="CS62" s="19"/>
      <c r="CT62" s="19"/>
      <c r="CV62" s="19"/>
      <c r="CW62" s="19"/>
      <c r="CX62" s="19"/>
      <c r="CZ62" s="19"/>
      <c r="DA62" s="19"/>
      <c r="DB62" s="19"/>
      <c r="DD62" s="19"/>
      <c r="DE62" s="19"/>
      <c r="DF62" s="19"/>
    </row>
    <row r="63" spans="1:110" x14ac:dyDescent="0.15">
      <c r="A63" t="s">
        <v>116</v>
      </c>
      <c r="AV63" s="19"/>
      <c r="AW63" s="19"/>
      <c r="AX63" s="19"/>
      <c r="AZ63" s="19"/>
      <c r="BA63" s="19"/>
      <c r="BB63" s="19"/>
      <c r="BD63" s="19"/>
      <c r="BE63" s="19"/>
      <c r="BF63" s="19"/>
      <c r="BH63" s="19"/>
      <c r="BI63" s="19"/>
      <c r="BJ63" s="19"/>
      <c r="BL63" s="19"/>
      <c r="BM63" s="19"/>
      <c r="BN63" s="19"/>
      <c r="BP63" s="19"/>
      <c r="BQ63" s="19"/>
      <c r="BR63" s="19"/>
      <c r="BT63" s="19"/>
      <c r="BU63" s="19"/>
      <c r="BV63" s="19"/>
      <c r="BX63" s="19"/>
      <c r="BY63" s="19"/>
      <c r="BZ63" s="19"/>
      <c r="CB63" s="19"/>
      <c r="CC63" s="19"/>
      <c r="CD63" s="19"/>
      <c r="CF63" s="19"/>
      <c r="CG63" s="19"/>
      <c r="CH63" s="19"/>
      <c r="CJ63" s="19"/>
      <c r="CK63" s="19"/>
      <c r="CL63" s="19"/>
      <c r="CN63" s="19"/>
      <c r="CO63" s="19"/>
      <c r="CP63" s="19"/>
      <c r="CR63" s="19"/>
      <c r="CS63" s="19"/>
      <c r="CT63" s="19"/>
      <c r="CV63" s="19"/>
      <c r="CW63" s="19"/>
      <c r="CX63" s="19"/>
      <c r="CZ63" s="19"/>
      <c r="DA63" s="19"/>
      <c r="DB63" s="19"/>
      <c r="DD63" s="19"/>
      <c r="DE63" s="19"/>
      <c r="DF63" s="19"/>
    </row>
    <row r="64" spans="1:110" x14ac:dyDescent="0.15">
      <c r="W64" t="s">
        <v>46</v>
      </c>
      <c r="AV64" s="19"/>
      <c r="AW64" s="19"/>
      <c r="AX64" s="19"/>
      <c r="AZ64" s="19"/>
      <c r="BA64" s="19"/>
      <c r="BB64" s="19"/>
      <c r="BD64" s="19"/>
      <c r="BE64" s="19"/>
      <c r="BF64" s="19"/>
      <c r="BH64" s="19"/>
      <c r="BI64" s="19"/>
      <c r="BJ64" s="19"/>
      <c r="BL64" s="19"/>
      <c r="BM64" s="19"/>
      <c r="BN64" s="19"/>
      <c r="BP64" s="19"/>
      <c r="BQ64" s="19"/>
      <c r="BR64" s="19"/>
      <c r="BT64" s="19"/>
      <c r="BU64" s="19"/>
      <c r="BV64" s="19"/>
      <c r="BX64" s="19"/>
      <c r="BY64" s="19"/>
      <c r="BZ64" s="19"/>
      <c r="CB64" s="19"/>
      <c r="CC64" s="19"/>
      <c r="CD64" s="19"/>
      <c r="CF64" s="19"/>
      <c r="CG64" s="19"/>
      <c r="CH64" s="19"/>
      <c r="CJ64" s="19"/>
      <c r="CK64" s="19"/>
      <c r="CL64" s="19"/>
      <c r="CN64" s="19"/>
      <c r="CO64" s="19"/>
      <c r="CP64" s="19"/>
      <c r="CR64" s="19"/>
      <c r="CS64" s="19"/>
      <c r="CT64" s="19"/>
      <c r="CV64" s="19"/>
      <c r="CW64" s="19"/>
      <c r="CX64" s="19"/>
      <c r="CZ64" s="19"/>
      <c r="DA64" s="19"/>
      <c r="DB64" s="19"/>
      <c r="DD64" s="19"/>
      <c r="DE64" s="19"/>
      <c r="DF64" s="19"/>
    </row>
    <row r="65" spans="1:110" s="22" customFormat="1" x14ac:dyDescent="0.15">
      <c r="A65" s="22" t="s">
        <v>30</v>
      </c>
      <c r="B65" s="22" t="s">
        <v>28</v>
      </c>
      <c r="C65" s="22" t="s">
        <v>29</v>
      </c>
      <c r="D65" s="22" t="s">
        <v>37</v>
      </c>
      <c r="E65" s="22" t="s">
        <v>38</v>
      </c>
      <c r="F65" s="22" t="s">
        <v>128</v>
      </c>
      <c r="G65" s="22" t="s">
        <v>39</v>
      </c>
      <c r="H65" s="22" t="s">
        <v>40</v>
      </c>
      <c r="I65" s="22" t="s">
        <v>41</v>
      </c>
      <c r="K65" s="22" t="s">
        <v>42</v>
      </c>
      <c r="L65" s="22" t="s">
        <v>43</v>
      </c>
      <c r="N65" s="22" t="s">
        <v>44</v>
      </c>
      <c r="R65" s="22" t="s">
        <v>45</v>
      </c>
      <c r="T65" s="23" t="s">
        <v>31</v>
      </c>
      <c r="U65" s="23" t="s">
        <v>32</v>
      </c>
      <c r="W65" s="22" t="s">
        <v>30</v>
      </c>
      <c r="X65" s="22" t="s">
        <v>28</v>
      </c>
      <c r="Y65" s="22" t="s">
        <v>29</v>
      </c>
      <c r="Z65" s="22" t="s">
        <v>37</v>
      </c>
      <c r="AA65" s="22" t="s">
        <v>38</v>
      </c>
      <c r="AB65" s="22" t="s">
        <v>128</v>
      </c>
      <c r="AC65" s="22" t="s">
        <v>39</v>
      </c>
      <c r="AD65" s="22" t="s">
        <v>40</v>
      </c>
      <c r="AE65" s="22" t="s">
        <v>41</v>
      </c>
      <c r="AG65" s="22" t="s">
        <v>42</v>
      </c>
      <c r="AH65" s="22" t="s">
        <v>43</v>
      </c>
      <c r="AJ65" s="22" t="s">
        <v>44</v>
      </c>
      <c r="AN65" s="22" t="s">
        <v>45</v>
      </c>
      <c r="AO65" s="22" t="s">
        <v>29</v>
      </c>
      <c r="AZ65" s="24"/>
      <c r="BA65" s="24"/>
      <c r="BB65" s="24"/>
      <c r="BD65" s="24"/>
      <c r="BE65" s="24"/>
      <c r="BF65" s="24"/>
      <c r="BH65" s="24"/>
      <c r="BI65" s="24"/>
      <c r="BJ65" s="24"/>
      <c r="BL65" s="24"/>
      <c r="BM65" s="24"/>
      <c r="BN65" s="24"/>
      <c r="BP65" s="24"/>
      <c r="BQ65" s="24"/>
      <c r="BR65" s="24"/>
      <c r="BT65" s="24"/>
      <c r="BU65" s="24"/>
      <c r="BV65" s="24"/>
      <c r="BX65" s="24"/>
      <c r="BY65" s="24"/>
      <c r="BZ65" s="24"/>
      <c r="CB65" s="24"/>
      <c r="CC65" s="24"/>
      <c r="CD65" s="24"/>
      <c r="CF65" s="24"/>
      <c r="CG65" s="24"/>
      <c r="CH65" s="24"/>
      <c r="CJ65" s="24"/>
      <c r="CK65" s="24"/>
      <c r="CL65" s="24"/>
      <c r="CN65" s="24"/>
      <c r="CO65" s="24"/>
      <c r="CP65" s="24"/>
      <c r="CR65" s="24"/>
      <c r="CS65" s="24"/>
      <c r="CT65" s="24"/>
      <c r="CV65" s="24"/>
      <c r="CW65" s="24"/>
      <c r="CX65" s="24"/>
      <c r="CZ65" s="24"/>
      <c r="DA65" s="24"/>
      <c r="DB65" s="24"/>
      <c r="DD65" s="24"/>
      <c r="DE65" s="24"/>
      <c r="DF65" s="24"/>
    </row>
    <row r="66" spans="1:110" s="22" customFormat="1" x14ac:dyDescent="0.15">
      <c r="A66" s="22">
        <f t="shared" ref="A66:A137" si="0">Qe_selected</f>
        <v>0.1215</v>
      </c>
      <c r="B66" s="22">
        <f t="shared" ref="B66:B137" si="1">Ln_selected</f>
        <v>4.8150000000000004</v>
      </c>
      <c r="C66" s="22">
        <v>0</v>
      </c>
      <c r="D66" s="22">
        <f>C66^2</f>
        <v>0</v>
      </c>
      <c r="E66" s="22">
        <f>B66*D66</f>
        <v>0</v>
      </c>
      <c r="F66" s="22">
        <f>C66^2-1</f>
        <v>-1</v>
      </c>
      <c r="G66" s="22">
        <f>1</f>
        <v>1</v>
      </c>
      <c r="H66" s="22">
        <f>C66*B66*A66</f>
        <v>0</v>
      </c>
      <c r="I66" s="22" t="str">
        <f>COMPLEX(G66,H66,"j")</f>
        <v>1</v>
      </c>
      <c r="K66" s="22" t="str">
        <f>IMPRODUCT(I66,F66)</f>
        <v>-1</v>
      </c>
      <c r="L66" s="22" t="str">
        <f>IMSUM(K66,E66)</f>
        <v>-1</v>
      </c>
      <c r="N66" s="22" t="str">
        <f>IMDIV(E66,L66)</f>
        <v>0</v>
      </c>
      <c r="R66" s="22">
        <f>IMABS(N66)</f>
        <v>0</v>
      </c>
      <c r="T66" s="22">
        <f t="shared" ref="T66:T137" si="2">Mg_max</f>
        <v>1.05</v>
      </c>
      <c r="U66" s="22">
        <f t="shared" ref="U66:U137" si="3">Mg_min</f>
        <v>0.97</v>
      </c>
      <c r="W66" s="22">
        <v>1E-3</v>
      </c>
      <c r="X66" s="22">
        <f t="shared" ref="X66:X137" si="4">Ln_selected</f>
        <v>4.8150000000000004</v>
      </c>
      <c r="Y66" s="22">
        <v>0</v>
      </c>
      <c r="Z66" s="22">
        <f>Y66^2</f>
        <v>0</v>
      </c>
      <c r="AA66" s="22">
        <f>X66*Z66</f>
        <v>0</v>
      </c>
      <c r="AB66" s="22">
        <f>Y66^2-1</f>
        <v>-1</v>
      </c>
      <c r="AC66" s="22">
        <v>1</v>
      </c>
      <c r="AD66" s="22">
        <f>Y66*X66*W66</f>
        <v>0</v>
      </c>
      <c r="AE66" s="22" t="str">
        <f>COMPLEX(AC66,AD66,"j")</f>
        <v>1</v>
      </c>
      <c r="AG66" s="22" t="str">
        <f>IMPRODUCT(AE66,AB66)</f>
        <v>-1</v>
      </c>
      <c r="AH66" s="22" t="str">
        <f>IMSUM(AG66,AA66)</f>
        <v>-1</v>
      </c>
      <c r="AJ66" s="22" t="str">
        <f>IMDIV(AA66,AH66)</f>
        <v>0</v>
      </c>
      <c r="AN66" s="22">
        <f>IMABS(AJ66)</f>
        <v>0</v>
      </c>
      <c r="AO66" s="22">
        <v>0</v>
      </c>
      <c r="AZ66" s="24"/>
      <c r="BA66" s="24"/>
      <c r="BB66" s="24"/>
      <c r="BD66" s="24"/>
      <c r="BE66" s="24"/>
      <c r="BF66" s="24"/>
      <c r="BH66" s="24"/>
      <c r="BI66" s="24"/>
      <c r="BJ66" s="24"/>
      <c r="BL66" s="24"/>
      <c r="BM66" s="24"/>
      <c r="BN66" s="24"/>
      <c r="BP66" s="24"/>
      <c r="BQ66" s="24"/>
      <c r="BR66" s="24"/>
      <c r="BT66" s="24"/>
      <c r="BU66" s="24"/>
      <c r="BV66" s="24"/>
      <c r="BX66" s="24"/>
      <c r="BY66" s="24"/>
      <c r="BZ66" s="24"/>
      <c r="CB66" s="24"/>
      <c r="CC66" s="24"/>
      <c r="CD66" s="24"/>
      <c r="CF66" s="24"/>
      <c r="CG66" s="24"/>
      <c r="CH66" s="24"/>
      <c r="CJ66" s="24"/>
      <c r="CK66" s="24"/>
      <c r="CL66" s="24"/>
      <c r="CN66" s="24"/>
      <c r="CO66" s="24"/>
      <c r="CP66" s="24"/>
      <c r="CR66" s="24"/>
      <c r="CS66" s="24"/>
      <c r="CT66" s="24"/>
      <c r="CV66" s="24"/>
      <c r="CW66" s="24"/>
      <c r="CX66" s="24"/>
      <c r="CZ66" s="24"/>
      <c r="DA66" s="24"/>
      <c r="DB66" s="24"/>
      <c r="DD66" s="24"/>
      <c r="DE66" s="24"/>
      <c r="DF66" s="24"/>
    </row>
    <row r="67" spans="1:110" s="22" customFormat="1" x14ac:dyDescent="0.15">
      <c r="A67" s="22">
        <f t="shared" si="0"/>
        <v>0.1215</v>
      </c>
      <c r="B67" s="22">
        <f t="shared" si="1"/>
        <v>4.8150000000000004</v>
      </c>
      <c r="C67" s="22">
        <f>C66+0.05</f>
        <v>0.05</v>
      </c>
      <c r="D67" s="22">
        <f t="shared" ref="D67:D130" si="5">C67^2</f>
        <v>2.5000000000000005E-3</v>
      </c>
      <c r="E67" s="22">
        <f t="shared" ref="E67:E130" si="6">B67*D67</f>
        <v>1.2037500000000003E-2</v>
      </c>
      <c r="F67" s="22">
        <f t="shared" ref="F67:F130" si="7">C67^2-1</f>
        <v>-0.99750000000000005</v>
      </c>
      <c r="G67" s="22">
        <f>1</f>
        <v>1</v>
      </c>
      <c r="H67" s="22">
        <f t="shared" ref="H67:H130" si="8">C67*B67*A67</f>
        <v>2.9251125000000003E-2</v>
      </c>
      <c r="I67" s="22" t="str">
        <f t="shared" ref="I67:I130" si="9">COMPLEX(G67,H67,"j")</f>
        <v>1+0.029251125j</v>
      </c>
      <c r="K67" s="22" t="str">
        <f t="shared" ref="K67:K130" si="10">IMPRODUCT(I67,F67)</f>
        <v>-0.9975-0.0291779971875j</v>
      </c>
      <c r="L67" s="22" t="str">
        <f t="shared" ref="L67:L130" si="11">IMSUM(K67,E67)</f>
        <v>-0.9854625-0.0291779971875j</v>
      </c>
      <c r="N67" s="22" t="str">
        <f t="shared" ref="N67:N130" si="12">IMDIV(E67,L67)</f>
        <v>-0.0122043775983746+0.000361352456578067j</v>
      </c>
      <c r="R67" s="22">
        <f t="shared" ref="R67:R130" si="13">IMABS(N67)</f>
        <v>1.2209725965867651E-2</v>
      </c>
      <c r="T67" s="22">
        <f t="shared" si="2"/>
        <v>1.05</v>
      </c>
      <c r="U67" s="22">
        <f t="shared" si="3"/>
        <v>0.97</v>
      </c>
      <c r="W67" s="22">
        <f>W66</f>
        <v>1E-3</v>
      </c>
      <c r="X67" s="22">
        <f t="shared" si="4"/>
        <v>4.8150000000000004</v>
      </c>
      <c r="Y67" s="22">
        <f>Y66+0.05</f>
        <v>0.05</v>
      </c>
      <c r="Z67" s="22">
        <f t="shared" ref="Z67:Z130" si="14">Y67^2</f>
        <v>2.5000000000000005E-3</v>
      </c>
      <c r="AA67" s="22">
        <f t="shared" ref="AA67:AA130" si="15">X67*Z67</f>
        <v>1.2037500000000003E-2</v>
      </c>
      <c r="AB67" s="22">
        <f t="shared" ref="AB67:AB130" si="16">Y67^2-1</f>
        <v>-0.99750000000000005</v>
      </c>
      <c r="AC67" s="22">
        <v>1</v>
      </c>
      <c r="AD67" s="22">
        <f t="shared" ref="AD67:AD130" si="17">Y67*X67*W67</f>
        <v>2.4075000000000002E-4</v>
      </c>
      <c r="AE67" s="22" t="str">
        <f t="shared" ref="AE67:AE130" si="18">COMPLEX(AC67,AD67,"j")</f>
        <v>1+0.00024075j</v>
      </c>
      <c r="AG67" s="22" t="str">
        <f t="shared" ref="AG67:AG130" si="19">IMPRODUCT(AE67,AB67)</f>
        <v>-0.9975-0.000240148125j</v>
      </c>
      <c r="AH67" s="22" t="str">
        <f t="shared" ref="AH67:AH130" si="20">IMSUM(AG67,AA67)</f>
        <v>-0.9854625-0.000240148125j</v>
      </c>
      <c r="AJ67" s="22" t="str">
        <f t="shared" ref="AJ67:AJ130" si="21">IMDIV(AA67,AH67)</f>
        <v>-0.0122150759518+2.97670138291145E-06j</v>
      </c>
      <c r="AN67" s="22">
        <f t="shared" ref="AN67:AN130" si="22">IMABS(AJ67)</f>
        <v>1.2215076314497336E-2</v>
      </c>
      <c r="AO67" s="22">
        <v>1</v>
      </c>
      <c r="AZ67" s="24"/>
      <c r="BA67" s="24"/>
      <c r="BB67" s="24"/>
      <c r="BD67" s="24"/>
      <c r="BE67" s="24"/>
      <c r="BF67" s="24"/>
      <c r="BH67" s="24"/>
      <c r="BI67" s="24"/>
      <c r="BJ67" s="24"/>
      <c r="BL67" s="24"/>
      <c r="BM67" s="24"/>
      <c r="BN67" s="24"/>
      <c r="BP67" s="24"/>
      <c r="BQ67" s="24"/>
      <c r="BR67" s="24"/>
      <c r="BT67" s="24"/>
      <c r="BU67" s="24"/>
      <c r="BV67" s="24"/>
      <c r="BX67" s="24"/>
      <c r="BY67" s="24"/>
      <c r="BZ67" s="24"/>
      <c r="CB67" s="24"/>
      <c r="CC67" s="24"/>
      <c r="CD67" s="24"/>
      <c r="CF67" s="24"/>
      <c r="CG67" s="24"/>
      <c r="CH67" s="24"/>
      <c r="CJ67" s="24"/>
      <c r="CK67" s="24"/>
      <c r="CL67" s="24"/>
      <c r="CN67" s="24"/>
      <c r="CO67" s="24"/>
      <c r="CP67" s="24"/>
      <c r="CR67" s="24"/>
      <c r="CS67" s="24"/>
      <c r="CT67" s="24"/>
      <c r="CV67" s="24"/>
      <c r="CW67" s="24"/>
      <c r="CX67" s="24"/>
      <c r="CZ67" s="24"/>
      <c r="DA67" s="24"/>
      <c r="DB67" s="24"/>
      <c r="DD67" s="24"/>
      <c r="DE67" s="24"/>
      <c r="DF67" s="24"/>
    </row>
    <row r="68" spans="1:110" s="22" customFormat="1" x14ac:dyDescent="0.15">
      <c r="A68" s="22">
        <f t="shared" si="0"/>
        <v>0.1215</v>
      </c>
      <c r="B68" s="22">
        <f t="shared" si="1"/>
        <v>4.8150000000000004</v>
      </c>
      <c r="C68" s="22">
        <f t="shared" ref="C68:C131" si="23">C67+0.05</f>
        <v>0.1</v>
      </c>
      <c r="D68" s="22">
        <f t="shared" si="5"/>
        <v>1.0000000000000002E-2</v>
      </c>
      <c r="E68" s="22">
        <f t="shared" si="6"/>
        <v>4.8150000000000012E-2</v>
      </c>
      <c r="F68" s="22">
        <f t="shared" si="7"/>
        <v>-0.99</v>
      </c>
      <c r="G68" s="22">
        <f>1</f>
        <v>1</v>
      </c>
      <c r="H68" s="22">
        <f t="shared" si="8"/>
        <v>5.8502250000000006E-2</v>
      </c>
      <c r="I68" s="22" t="str">
        <f t="shared" si="9"/>
        <v>1+0.05850225j</v>
      </c>
      <c r="K68" s="22" t="str">
        <f t="shared" si="10"/>
        <v>-0.99-0.0579172275j</v>
      </c>
      <c r="L68" s="22" t="str">
        <f t="shared" si="11"/>
        <v>-0.94185-0.0579172275j</v>
      </c>
      <c r="N68" s="22" t="str">
        <f t="shared" si="12"/>
        <v>-0.0509302030389284+0.00313185343316537j</v>
      </c>
      <c r="R68" s="22">
        <f t="shared" si="13"/>
        <v>5.1026405786742439E-2</v>
      </c>
      <c r="T68" s="22">
        <f t="shared" si="2"/>
        <v>1.05</v>
      </c>
      <c r="U68" s="22">
        <f t="shared" si="3"/>
        <v>0.97</v>
      </c>
      <c r="W68" s="22">
        <f t="shared" ref="W68:W131" si="24">W67</f>
        <v>1E-3</v>
      </c>
      <c r="X68" s="22">
        <f t="shared" si="4"/>
        <v>4.8150000000000004</v>
      </c>
      <c r="Y68" s="22">
        <f t="shared" ref="Y68:Y131" si="25">Y67+0.05</f>
        <v>0.1</v>
      </c>
      <c r="Z68" s="22">
        <f t="shared" si="14"/>
        <v>1.0000000000000002E-2</v>
      </c>
      <c r="AA68" s="22">
        <f t="shared" si="15"/>
        <v>4.8150000000000012E-2</v>
      </c>
      <c r="AB68" s="22">
        <f t="shared" si="16"/>
        <v>-0.99</v>
      </c>
      <c r="AC68" s="22">
        <v>1</v>
      </c>
      <c r="AD68" s="22">
        <f t="shared" si="17"/>
        <v>4.8150000000000005E-4</v>
      </c>
      <c r="AE68" s="22" t="str">
        <f t="shared" si="18"/>
        <v>1+0.0004815j</v>
      </c>
      <c r="AG68" s="22" t="str">
        <f t="shared" si="19"/>
        <v>-0.99-0.000476685j</v>
      </c>
      <c r="AH68" s="22" t="str">
        <f t="shared" si="20"/>
        <v>-0.94185-0.000476685j</v>
      </c>
      <c r="AJ68" s="22" t="str">
        <f t="shared" si="21"/>
        <v>-0.0511227771579711+0.0000258740362367123j</v>
      </c>
      <c r="AN68" s="22">
        <f t="shared" si="22"/>
        <v>5.1122783705597682E-2</v>
      </c>
      <c r="AO68" s="22">
        <v>2</v>
      </c>
      <c r="AZ68" s="24"/>
      <c r="BA68" s="24"/>
      <c r="BB68" s="24"/>
      <c r="BD68" s="24"/>
      <c r="BE68" s="24"/>
      <c r="BF68" s="24"/>
      <c r="BH68" s="24"/>
      <c r="BI68" s="24"/>
      <c r="BJ68" s="24"/>
      <c r="BL68" s="24"/>
      <c r="BM68" s="24"/>
      <c r="BN68" s="24"/>
      <c r="BP68" s="24"/>
      <c r="BQ68" s="24"/>
      <c r="BR68" s="24"/>
      <c r="BT68" s="24"/>
      <c r="BU68" s="24"/>
      <c r="BV68" s="24"/>
      <c r="BX68" s="24"/>
      <c r="BY68" s="24"/>
      <c r="BZ68" s="24"/>
      <c r="CB68" s="24"/>
      <c r="CC68" s="24"/>
      <c r="CD68" s="24"/>
      <c r="CF68" s="24"/>
      <c r="CG68" s="24"/>
      <c r="CH68" s="24"/>
      <c r="CJ68" s="24"/>
      <c r="CK68" s="24"/>
      <c r="CL68" s="24"/>
      <c r="CN68" s="24"/>
      <c r="CO68" s="24"/>
      <c r="CP68" s="24"/>
      <c r="CR68" s="24"/>
      <c r="CS68" s="24"/>
      <c r="CT68" s="24"/>
      <c r="CV68" s="24"/>
      <c r="CW68" s="24"/>
      <c r="CX68" s="24"/>
      <c r="CZ68" s="24"/>
      <c r="DA68" s="24"/>
      <c r="DB68" s="24"/>
      <c r="DD68" s="24"/>
      <c r="DE68" s="24"/>
      <c r="DF68" s="24"/>
    </row>
    <row r="69" spans="1:110" s="22" customFormat="1" x14ac:dyDescent="0.15">
      <c r="A69" s="22">
        <f t="shared" si="0"/>
        <v>0.1215</v>
      </c>
      <c r="B69" s="22">
        <f t="shared" si="1"/>
        <v>4.8150000000000004</v>
      </c>
      <c r="C69" s="22">
        <f t="shared" si="23"/>
        <v>0.15000000000000002</v>
      </c>
      <c r="D69" s="22">
        <f t="shared" si="5"/>
        <v>2.2500000000000006E-2</v>
      </c>
      <c r="E69" s="22">
        <f t="shared" si="6"/>
        <v>0.10833750000000004</v>
      </c>
      <c r="F69" s="22">
        <f t="shared" si="7"/>
        <v>-0.97750000000000004</v>
      </c>
      <c r="G69" s="22">
        <f>1</f>
        <v>1</v>
      </c>
      <c r="H69" s="22">
        <f t="shared" si="8"/>
        <v>8.7753375000000022E-2</v>
      </c>
      <c r="I69" s="22" t="str">
        <f t="shared" si="9"/>
        <v>1+0.087753375j</v>
      </c>
      <c r="K69" s="22" t="str">
        <f t="shared" si="10"/>
        <v>-0.9775-0.0857789240625j</v>
      </c>
      <c r="L69" s="22" t="str">
        <f t="shared" si="11"/>
        <v>-0.8691625-0.0857789240625j</v>
      </c>
      <c r="N69" s="22" t="str">
        <f t="shared" si="12"/>
        <v>-0.123443511061178+0.0121828214647148j</v>
      </c>
      <c r="R69" s="22">
        <f t="shared" si="13"/>
        <v>0.1240432245709224</v>
      </c>
      <c r="T69" s="22">
        <f t="shared" si="2"/>
        <v>1.05</v>
      </c>
      <c r="U69" s="22">
        <f t="shared" si="3"/>
        <v>0.97</v>
      </c>
      <c r="W69" s="22">
        <f t="shared" si="24"/>
        <v>1E-3</v>
      </c>
      <c r="X69" s="22">
        <f t="shared" si="4"/>
        <v>4.8150000000000004</v>
      </c>
      <c r="Y69" s="22">
        <f t="shared" si="25"/>
        <v>0.15000000000000002</v>
      </c>
      <c r="Z69" s="22">
        <f t="shared" si="14"/>
        <v>2.2500000000000006E-2</v>
      </c>
      <c r="AA69" s="22">
        <f t="shared" si="15"/>
        <v>0.10833750000000004</v>
      </c>
      <c r="AB69" s="22">
        <f t="shared" si="16"/>
        <v>-0.97750000000000004</v>
      </c>
      <c r="AC69" s="22">
        <v>1</v>
      </c>
      <c r="AD69" s="22">
        <f t="shared" si="17"/>
        <v>7.2225000000000024E-4</v>
      </c>
      <c r="AE69" s="22" t="str">
        <f t="shared" si="18"/>
        <v>1+0.00072225j</v>
      </c>
      <c r="AG69" s="22" t="str">
        <f t="shared" si="19"/>
        <v>-0.9775-0.000705999375j</v>
      </c>
      <c r="AH69" s="22" t="str">
        <f t="shared" si="20"/>
        <v>-0.8691625-0.000705999375j</v>
      </c>
      <c r="AJ69" s="22" t="str">
        <f t="shared" si="21"/>
        <v>-0.124645769369816+0.000101246700440348j</v>
      </c>
      <c r="AN69" s="22">
        <f t="shared" si="22"/>
        <v>0.12464581048991462</v>
      </c>
      <c r="AO69" s="22">
        <v>3</v>
      </c>
      <c r="AZ69" s="24"/>
      <c r="BA69" s="24"/>
      <c r="BB69" s="24"/>
      <c r="BD69" s="24"/>
      <c r="BE69" s="24"/>
      <c r="BF69" s="24"/>
      <c r="BH69" s="24"/>
      <c r="BI69" s="24"/>
      <c r="BJ69" s="24"/>
      <c r="BL69" s="24"/>
      <c r="BM69" s="24"/>
      <c r="BN69" s="24"/>
      <c r="BP69" s="24"/>
      <c r="BQ69" s="24"/>
      <c r="BR69" s="24"/>
      <c r="BT69" s="24"/>
      <c r="BU69" s="24"/>
      <c r="BV69" s="24"/>
      <c r="BX69" s="24"/>
      <c r="BY69" s="24"/>
      <c r="BZ69" s="24"/>
      <c r="CB69" s="24"/>
      <c r="CC69" s="24"/>
      <c r="CD69" s="24"/>
      <c r="CF69" s="24"/>
      <c r="CG69" s="24"/>
      <c r="CH69" s="24"/>
      <c r="CJ69" s="24"/>
      <c r="CK69" s="24"/>
      <c r="CL69" s="24"/>
      <c r="CN69" s="24"/>
      <c r="CO69" s="24"/>
      <c r="CP69" s="24"/>
      <c r="CR69" s="24"/>
      <c r="CS69" s="24"/>
      <c r="CT69" s="24"/>
      <c r="CV69" s="24"/>
      <c r="CW69" s="24"/>
      <c r="CX69" s="24"/>
      <c r="CZ69" s="24"/>
      <c r="DA69" s="24"/>
      <c r="DB69" s="24"/>
      <c r="DD69" s="24"/>
      <c r="DE69" s="24"/>
      <c r="DF69" s="24"/>
    </row>
    <row r="70" spans="1:110" s="22" customFormat="1" x14ac:dyDescent="0.15">
      <c r="A70" s="22">
        <f t="shared" si="0"/>
        <v>0.1215</v>
      </c>
      <c r="B70" s="22">
        <f t="shared" si="1"/>
        <v>4.8150000000000004</v>
      </c>
      <c r="C70" s="22">
        <f t="shared" si="23"/>
        <v>0.2</v>
      </c>
      <c r="D70" s="22">
        <f t="shared" si="5"/>
        <v>4.0000000000000008E-2</v>
      </c>
      <c r="E70" s="22">
        <f t="shared" si="6"/>
        <v>0.19260000000000005</v>
      </c>
      <c r="F70" s="22">
        <f t="shared" si="7"/>
        <v>-0.96</v>
      </c>
      <c r="G70" s="22">
        <f>1</f>
        <v>1</v>
      </c>
      <c r="H70" s="22">
        <f t="shared" si="8"/>
        <v>0.11700450000000001</v>
      </c>
      <c r="I70" s="22" t="str">
        <f t="shared" si="9"/>
        <v>1+0.1170045j</v>
      </c>
      <c r="K70" s="22" t="str">
        <f t="shared" si="10"/>
        <v>-0.96-0.11232432j</v>
      </c>
      <c r="L70" s="22" t="str">
        <f t="shared" si="11"/>
        <v>-0.7674-0.11232432j</v>
      </c>
      <c r="N70" s="22" t="str">
        <f t="shared" si="12"/>
        <v>-0.245713126239928+0.0359650245243342j</v>
      </c>
      <c r="R70" s="22">
        <f t="shared" si="13"/>
        <v>0.24833127752185138</v>
      </c>
      <c r="T70" s="22">
        <f t="shared" si="2"/>
        <v>1.05</v>
      </c>
      <c r="U70" s="22">
        <f t="shared" si="3"/>
        <v>0.97</v>
      </c>
      <c r="W70" s="22">
        <f t="shared" si="24"/>
        <v>1E-3</v>
      </c>
      <c r="X70" s="22">
        <f t="shared" si="4"/>
        <v>4.8150000000000004</v>
      </c>
      <c r="Y70" s="22">
        <f t="shared" si="25"/>
        <v>0.2</v>
      </c>
      <c r="Z70" s="22">
        <f t="shared" si="14"/>
        <v>4.0000000000000008E-2</v>
      </c>
      <c r="AA70" s="22">
        <f t="shared" si="15"/>
        <v>0.19260000000000005</v>
      </c>
      <c r="AB70" s="22">
        <f t="shared" si="16"/>
        <v>-0.96</v>
      </c>
      <c r="AC70" s="22">
        <v>1</v>
      </c>
      <c r="AD70" s="22">
        <f t="shared" si="17"/>
        <v>9.630000000000001E-4</v>
      </c>
      <c r="AE70" s="22" t="str">
        <f t="shared" si="18"/>
        <v>1+0.000963j</v>
      </c>
      <c r="AG70" s="22" t="str">
        <f t="shared" si="19"/>
        <v>-0.96-0.00092448j</v>
      </c>
      <c r="AH70" s="22" t="str">
        <f t="shared" si="20"/>
        <v>-0.7674-0.00092448j</v>
      </c>
      <c r="AJ70" s="22" t="str">
        <f t="shared" si="21"/>
        <v>-0.250976961797919+0.000302349728489628j</v>
      </c>
      <c r="AN70" s="22">
        <f t="shared" si="22"/>
        <v>0.25097714391687626</v>
      </c>
      <c r="AO70" s="22">
        <v>4</v>
      </c>
      <c r="AZ70" s="24"/>
      <c r="BA70" s="24"/>
      <c r="BB70" s="24"/>
      <c r="BD70" s="24"/>
      <c r="BE70" s="24"/>
      <c r="BF70" s="24"/>
      <c r="BH70" s="24"/>
      <c r="BI70" s="24"/>
      <c r="BJ70" s="24"/>
      <c r="BL70" s="24"/>
      <c r="BM70" s="24"/>
      <c r="BN70" s="24"/>
      <c r="BP70" s="24"/>
      <c r="BQ70" s="24"/>
      <c r="BR70" s="24"/>
      <c r="BT70" s="24"/>
      <c r="BU70" s="24"/>
      <c r="BV70" s="24"/>
      <c r="BX70" s="24"/>
      <c r="BY70" s="24"/>
      <c r="BZ70" s="24"/>
      <c r="CB70" s="24"/>
      <c r="CC70" s="24"/>
      <c r="CD70" s="24"/>
      <c r="CF70" s="24"/>
      <c r="CG70" s="24"/>
      <c r="CH70" s="24"/>
      <c r="CJ70" s="24"/>
      <c r="CK70" s="24"/>
      <c r="CL70" s="24"/>
      <c r="CN70" s="24"/>
      <c r="CO70" s="24"/>
      <c r="CP70" s="24"/>
      <c r="CR70" s="24"/>
      <c r="CS70" s="24"/>
      <c r="CT70" s="24"/>
      <c r="CV70" s="24"/>
      <c r="CW70" s="24"/>
      <c r="CX70" s="24"/>
      <c r="CZ70" s="24"/>
      <c r="DA70" s="24"/>
      <c r="DB70" s="24"/>
      <c r="DD70" s="24"/>
      <c r="DE70" s="24"/>
      <c r="DF70" s="24"/>
    </row>
    <row r="71" spans="1:110" s="22" customFormat="1" x14ac:dyDescent="0.15">
      <c r="A71" s="22">
        <f t="shared" si="0"/>
        <v>0.1215</v>
      </c>
      <c r="B71" s="22">
        <f t="shared" si="1"/>
        <v>4.8150000000000004</v>
      </c>
      <c r="C71" s="22">
        <f t="shared" si="23"/>
        <v>0.25</v>
      </c>
      <c r="D71" s="22">
        <f t="shared" si="5"/>
        <v>6.25E-2</v>
      </c>
      <c r="E71" s="22">
        <f t="shared" si="6"/>
        <v>0.30093750000000002</v>
      </c>
      <c r="F71" s="22">
        <f t="shared" si="7"/>
        <v>-0.9375</v>
      </c>
      <c r="G71" s="22">
        <f>1</f>
        <v>1</v>
      </c>
      <c r="H71" s="22">
        <f t="shared" si="8"/>
        <v>0.146255625</v>
      </c>
      <c r="I71" s="22" t="str">
        <f t="shared" si="9"/>
        <v>1+0.146255625j</v>
      </c>
      <c r="K71" s="22" t="str">
        <f t="shared" si="10"/>
        <v>-0.9375-0.1371146484375j</v>
      </c>
      <c r="L71" s="22" t="str">
        <f t="shared" si="11"/>
        <v>-0.6365625-0.1371146484375j</v>
      </c>
      <c r="N71" s="22" t="str">
        <f t="shared" si="12"/>
        <v>-0.451792443274512+0.0973154435366581j</v>
      </c>
      <c r="R71" s="22">
        <f t="shared" si="13"/>
        <v>0.46215441937807933</v>
      </c>
      <c r="T71" s="22">
        <f t="shared" si="2"/>
        <v>1.05</v>
      </c>
      <c r="U71" s="22">
        <f t="shared" si="3"/>
        <v>0.97</v>
      </c>
      <c r="W71" s="22">
        <f t="shared" si="24"/>
        <v>1E-3</v>
      </c>
      <c r="X71" s="22">
        <f t="shared" si="4"/>
        <v>4.8150000000000004</v>
      </c>
      <c r="Y71" s="22">
        <f t="shared" si="25"/>
        <v>0.25</v>
      </c>
      <c r="Z71" s="22">
        <f t="shared" si="14"/>
        <v>6.25E-2</v>
      </c>
      <c r="AA71" s="22">
        <f t="shared" si="15"/>
        <v>0.30093750000000002</v>
      </c>
      <c r="AB71" s="22">
        <f t="shared" si="16"/>
        <v>-0.9375</v>
      </c>
      <c r="AC71" s="22">
        <v>1</v>
      </c>
      <c r="AD71" s="22">
        <f t="shared" si="17"/>
        <v>1.2037500000000002E-3</v>
      </c>
      <c r="AE71" s="22" t="str">
        <f t="shared" si="18"/>
        <v>1+0.00120375j</v>
      </c>
      <c r="AG71" s="22" t="str">
        <f t="shared" si="19"/>
        <v>-0.9375-0.001128515625j</v>
      </c>
      <c r="AH71" s="22" t="str">
        <f t="shared" si="20"/>
        <v>-0.6365625-0.001128515625j</v>
      </c>
      <c r="AJ71" s="22" t="str">
        <f t="shared" si="21"/>
        <v>-0.472752564251089+0.0008381088353715j</v>
      </c>
      <c r="AN71" s="22">
        <f t="shared" si="22"/>
        <v>0.47275330716177966</v>
      </c>
      <c r="AO71" s="22">
        <v>5</v>
      </c>
      <c r="AZ71" s="24"/>
      <c r="BA71" s="24"/>
      <c r="BB71" s="24"/>
      <c r="BD71" s="24"/>
      <c r="BE71" s="24"/>
      <c r="BF71" s="24"/>
      <c r="BH71" s="24"/>
      <c r="BI71" s="24"/>
      <c r="BJ71" s="24"/>
      <c r="BL71" s="24"/>
      <c r="BM71" s="24"/>
      <c r="BN71" s="24"/>
      <c r="BP71" s="24"/>
      <c r="BQ71" s="24"/>
      <c r="BR71" s="24"/>
      <c r="BT71" s="24"/>
      <c r="BU71" s="24"/>
      <c r="BV71" s="24"/>
      <c r="BX71" s="24"/>
      <c r="BY71" s="24"/>
      <c r="BZ71" s="24"/>
      <c r="CB71" s="24"/>
      <c r="CC71" s="24"/>
      <c r="CD71" s="24"/>
      <c r="CF71" s="24"/>
      <c r="CG71" s="24"/>
      <c r="CH71" s="24"/>
      <c r="CJ71" s="24"/>
      <c r="CK71" s="24"/>
      <c r="CL71" s="24"/>
      <c r="CN71" s="24"/>
      <c r="CO71" s="24"/>
      <c r="CP71" s="24"/>
      <c r="CR71" s="24"/>
      <c r="CS71" s="24"/>
      <c r="CT71" s="24"/>
      <c r="CV71" s="24"/>
      <c r="CW71" s="24"/>
      <c r="CX71" s="24"/>
      <c r="CZ71" s="24"/>
      <c r="DA71" s="24"/>
      <c r="DB71" s="24"/>
      <c r="DD71" s="24"/>
      <c r="DE71" s="24"/>
      <c r="DF71" s="24"/>
    </row>
    <row r="72" spans="1:110" s="22" customFormat="1" x14ac:dyDescent="0.15">
      <c r="A72" s="22">
        <f t="shared" si="0"/>
        <v>0.1215</v>
      </c>
      <c r="B72" s="22">
        <f t="shared" si="1"/>
        <v>4.8150000000000004</v>
      </c>
      <c r="C72" s="22">
        <f t="shared" si="23"/>
        <v>0.3</v>
      </c>
      <c r="D72" s="22">
        <f t="shared" si="5"/>
        <v>0.09</v>
      </c>
      <c r="E72" s="22">
        <f t="shared" si="6"/>
        <v>0.43335000000000001</v>
      </c>
      <c r="F72" s="22">
        <f t="shared" si="7"/>
        <v>-0.91</v>
      </c>
      <c r="G72" s="22">
        <f>1</f>
        <v>1</v>
      </c>
      <c r="H72" s="22">
        <f t="shared" si="8"/>
        <v>0.17550675000000002</v>
      </c>
      <c r="I72" s="22" t="str">
        <f t="shared" si="9"/>
        <v>1+0.17550675j</v>
      </c>
      <c r="K72" s="22" t="str">
        <f t="shared" si="10"/>
        <v>-0.91-0.1597111425j</v>
      </c>
      <c r="L72" s="22" t="str">
        <f t="shared" si="11"/>
        <v>-0.47665-0.1597111425j</v>
      </c>
      <c r="N72" s="22" t="str">
        <f t="shared" si="12"/>
        <v>-0.817387931693541+0.27388222057377j</v>
      </c>
      <c r="R72" s="22">
        <f t="shared" si="13"/>
        <v>0.86205249354355673</v>
      </c>
      <c r="T72" s="22">
        <f t="shared" si="2"/>
        <v>1.05</v>
      </c>
      <c r="U72" s="22">
        <f t="shared" si="3"/>
        <v>0.97</v>
      </c>
      <c r="W72" s="22">
        <f t="shared" si="24"/>
        <v>1E-3</v>
      </c>
      <c r="X72" s="22">
        <f t="shared" si="4"/>
        <v>4.8150000000000004</v>
      </c>
      <c r="Y72" s="22">
        <f t="shared" si="25"/>
        <v>0.3</v>
      </c>
      <c r="Z72" s="22">
        <f t="shared" si="14"/>
        <v>0.09</v>
      </c>
      <c r="AA72" s="22">
        <f t="shared" si="15"/>
        <v>0.43335000000000001</v>
      </c>
      <c r="AB72" s="22">
        <f t="shared" si="16"/>
        <v>-0.91</v>
      </c>
      <c r="AC72" s="22">
        <v>1</v>
      </c>
      <c r="AD72" s="22">
        <f t="shared" si="17"/>
        <v>1.4445000000000003E-3</v>
      </c>
      <c r="AE72" s="22" t="str">
        <f t="shared" si="18"/>
        <v>1+0.0014445j</v>
      </c>
      <c r="AG72" s="22" t="str">
        <f t="shared" si="19"/>
        <v>-0.91-0.001314495j</v>
      </c>
      <c r="AH72" s="22" t="str">
        <f t="shared" si="20"/>
        <v>-0.47665-0.001314495j</v>
      </c>
      <c r="AJ72" s="22" t="str">
        <f t="shared" si="21"/>
        <v>-0.909150748454025+0.00250723615459787j</v>
      </c>
      <c r="AN72" s="22">
        <f t="shared" si="22"/>
        <v>0.90915420564811156</v>
      </c>
      <c r="AO72" s="22">
        <v>6</v>
      </c>
      <c r="AZ72" s="24"/>
      <c r="BA72" s="24"/>
      <c r="BB72" s="24"/>
      <c r="BD72" s="24"/>
      <c r="BE72" s="24"/>
      <c r="BF72" s="24"/>
      <c r="BH72" s="24"/>
      <c r="BI72" s="24"/>
      <c r="BJ72" s="24"/>
      <c r="BL72" s="24"/>
      <c r="BM72" s="24"/>
      <c r="BN72" s="24"/>
      <c r="BP72" s="24"/>
      <c r="BQ72" s="24"/>
      <c r="BR72" s="24"/>
      <c r="BT72" s="24"/>
      <c r="BU72" s="24"/>
      <c r="BV72" s="24"/>
      <c r="BX72" s="24"/>
      <c r="BY72" s="24"/>
      <c r="BZ72" s="24"/>
      <c r="CB72" s="24"/>
      <c r="CC72" s="24"/>
      <c r="CD72" s="24"/>
      <c r="CF72" s="24"/>
      <c r="CG72" s="24"/>
      <c r="CH72" s="24"/>
      <c r="CJ72" s="24"/>
      <c r="CK72" s="24"/>
      <c r="CL72" s="24"/>
      <c r="CN72" s="24"/>
      <c r="CO72" s="24"/>
      <c r="CP72" s="24"/>
      <c r="CR72" s="24"/>
      <c r="CS72" s="24"/>
      <c r="CT72" s="24"/>
      <c r="CV72" s="24"/>
      <c r="CW72" s="24"/>
      <c r="CX72" s="24"/>
      <c r="CZ72" s="24"/>
      <c r="DA72" s="24"/>
      <c r="DB72" s="24"/>
      <c r="DD72" s="24"/>
      <c r="DE72" s="24"/>
      <c r="DF72" s="24"/>
    </row>
    <row r="73" spans="1:110" s="22" customFormat="1" x14ac:dyDescent="0.15">
      <c r="A73" s="22">
        <f t="shared" si="0"/>
        <v>0.1215</v>
      </c>
      <c r="B73" s="22">
        <f t="shared" si="1"/>
        <v>4.8150000000000004</v>
      </c>
      <c r="C73" s="22">
        <f t="shared" si="23"/>
        <v>0.35</v>
      </c>
      <c r="D73" s="22">
        <f t="shared" si="5"/>
        <v>0.12249999999999998</v>
      </c>
      <c r="E73" s="22">
        <f t="shared" si="6"/>
        <v>0.58983750000000001</v>
      </c>
      <c r="F73" s="22">
        <f t="shared" si="7"/>
        <v>-0.87750000000000006</v>
      </c>
      <c r="G73" s="22">
        <f>1</f>
        <v>1</v>
      </c>
      <c r="H73" s="22">
        <f t="shared" si="8"/>
        <v>0.20475787500000001</v>
      </c>
      <c r="I73" s="22" t="str">
        <f t="shared" si="9"/>
        <v>1+0.204757875j</v>
      </c>
      <c r="K73" s="22" t="str">
        <f t="shared" si="10"/>
        <v>-0.8775-0.1796750353125j</v>
      </c>
      <c r="L73" s="22" t="str">
        <f t="shared" si="11"/>
        <v>-0.2876625-0.1796750353125j</v>
      </c>
      <c r="N73" s="22" t="str">
        <f t="shared" si="12"/>
        <v>-1.47500610537061+0.921294134858096j</v>
      </c>
      <c r="R73" s="22">
        <f t="shared" si="13"/>
        <v>1.7390876613340982</v>
      </c>
      <c r="T73" s="22">
        <f t="shared" si="2"/>
        <v>1.05</v>
      </c>
      <c r="U73" s="22">
        <f t="shared" si="3"/>
        <v>0.97</v>
      </c>
      <c r="W73" s="22">
        <f t="shared" si="24"/>
        <v>1E-3</v>
      </c>
      <c r="X73" s="22">
        <f t="shared" si="4"/>
        <v>4.8150000000000004</v>
      </c>
      <c r="Y73" s="22">
        <f t="shared" si="25"/>
        <v>0.35</v>
      </c>
      <c r="Z73" s="22">
        <f t="shared" si="14"/>
        <v>0.12249999999999998</v>
      </c>
      <c r="AA73" s="22">
        <f t="shared" si="15"/>
        <v>0.58983750000000001</v>
      </c>
      <c r="AB73" s="22">
        <f t="shared" si="16"/>
        <v>-0.87750000000000006</v>
      </c>
      <c r="AC73" s="22">
        <v>1</v>
      </c>
      <c r="AD73" s="22">
        <f t="shared" si="17"/>
        <v>1.6852500000000001E-3</v>
      </c>
      <c r="AE73" s="22" t="str">
        <f t="shared" si="18"/>
        <v>1+0.00168525j</v>
      </c>
      <c r="AG73" s="22" t="str">
        <f t="shared" si="19"/>
        <v>-0.8775-0.001478806875j</v>
      </c>
      <c r="AH73" s="22" t="str">
        <f t="shared" si="20"/>
        <v>-0.2876625-0.001478806875j</v>
      </c>
      <c r="AJ73" s="22" t="str">
        <f t="shared" si="21"/>
        <v>-2.05039555892487+0.010540612867536j</v>
      </c>
      <c r="AN73" s="22">
        <f t="shared" si="22"/>
        <v>2.0504226521813624</v>
      </c>
      <c r="AO73" s="22">
        <v>7</v>
      </c>
      <c r="AZ73" s="24"/>
      <c r="BA73" s="24"/>
      <c r="BB73" s="24"/>
      <c r="BD73" s="24"/>
      <c r="BE73" s="24"/>
      <c r="BF73" s="24"/>
      <c r="BH73" s="24"/>
      <c r="BI73" s="24"/>
      <c r="BJ73" s="24"/>
      <c r="BL73" s="24"/>
      <c r="BM73" s="24"/>
      <c r="BN73" s="24"/>
      <c r="BP73" s="24"/>
      <c r="BQ73" s="24"/>
      <c r="BR73" s="24"/>
      <c r="BT73" s="24"/>
      <c r="BU73" s="24"/>
      <c r="BV73" s="24"/>
      <c r="BX73" s="24"/>
      <c r="BY73" s="24"/>
      <c r="BZ73" s="24"/>
      <c r="CB73" s="24"/>
      <c r="CC73" s="24"/>
      <c r="CD73" s="24"/>
      <c r="CF73" s="24"/>
      <c r="CG73" s="24"/>
      <c r="CH73" s="24"/>
      <c r="CJ73" s="24"/>
      <c r="CK73" s="24"/>
      <c r="CL73" s="24"/>
      <c r="CN73" s="24"/>
      <c r="CO73" s="24"/>
      <c r="CP73" s="24"/>
      <c r="CR73" s="24"/>
      <c r="CS73" s="24"/>
      <c r="CT73" s="24"/>
      <c r="CV73" s="24"/>
      <c r="CW73" s="24"/>
      <c r="CX73" s="24"/>
      <c r="CZ73" s="24"/>
      <c r="DA73" s="24"/>
      <c r="DB73" s="24"/>
      <c r="DD73" s="24"/>
      <c r="DE73" s="24"/>
      <c r="DF73" s="24"/>
    </row>
    <row r="74" spans="1:110" s="22" customFormat="1" x14ac:dyDescent="0.15">
      <c r="A74" s="22">
        <f t="shared" si="0"/>
        <v>0.1215</v>
      </c>
      <c r="B74" s="22">
        <f t="shared" si="1"/>
        <v>4.8150000000000004</v>
      </c>
      <c r="C74" s="22">
        <f t="shared" si="23"/>
        <v>0.39999999999999997</v>
      </c>
      <c r="D74" s="22">
        <f t="shared" si="5"/>
        <v>0.15999999999999998</v>
      </c>
      <c r="E74" s="22">
        <f t="shared" si="6"/>
        <v>0.77039999999999997</v>
      </c>
      <c r="F74" s="22">
        <f t="shared" si="7"/>
        <v>-0.84000000000000008</v>
      </c>
      <c r="G74" s="22">
        <f>1</f>
        <v>1</v>
      </c>
      <c r="H74" s="22">
        <f t="shared" si="8"/>
        <v>0.23400899999999999</v>
      </c>
      <c r="I74" s="22" t="str">
        <f t="shared" si="9"/>
        <v>1+0.234009j</v>
      </c>
      <c r="K74" s="22" t="str">
        <f t="shared" si="10"/>
        <v>-0.84-0.19656756j</v>
      </c>
      <c r="L74" s="22" t="str">
        <f t="shared" si="11"/>
        <v>-0.0696-0.19656756j</v>
      </c>
      <c r="N74" s="22" t="str">
        <f t="shared" si="12"/>
        <v>-1.23312288399452+3.48264305297365j</v>
      </c>
      <c r="R74" s="22">
        <f t="shared" si="13"/>
        <v>3.6945087199053392</v>
      </c>
      <c r="T74" s="22">
        <f t="shared" si="2"/>
        <v>1.05</v>
      </c>
      <c r="U74" s="22">
        <f t="shared" si="3"/>
        <v>0.97</v>
      </c>
      <c r="W74" s="22">
        <f t="shared" si="24"/>
        <v>1E-3</v>
      </c>
      <c r="X74" s="22">
        <f t="shared" si="4"/>
        <v>4.8150000000000004</v>
      </c>
      <c r="Y74" s="22">
        <f t="shared" si="25"/>
        <v>0.39999999999999997</v>
      </c>
      <c r="Z74" s="22">
        <f t="shared" si="14"/>
        <v>0.15999999999999998</v>
      </c>
      <c r="AA74" s="22">
        <f t="shared" si="15"/>
        <v>0.77039999999999997</v>
      </c>
      <c r="AB74" s="22">
        <f t="shared" si="16"/>
        <v>-0.84000000000000008</v>
      </c>
      <c r="AC74" s="22">
        <v>1</v>
      </c>
      <c r="AD74" s="22">
        <f t="shared" si="17"/>
        <v>1.926E-3</v>
      </c>
      <c r="AE74" s="22" t="str">
        <f t="shared" si="18"/>
        <v>1+0.001926j</v>
      </c>
      <c r="AG74" s="22" t="str">
        <f t="shared" si="19"/>
        <v>-0.84-0.00161784j</v>
      </c>
      <c r="AH74" s="22" t="str">
        <f t="shared" si="20"/>
        <v>-0.0696-0.00161784j</v>
      </c>
      <c r="AJ74" s="22" t="str">
        <f t="shared" si="21"/>
        <v>-11.0629879413657+0.257157247285331j</v>
      </c>
      <c r="AN74" s="22">
        <f t="shared" si="22"/>
        <v>11.065976325685602</v>
      </c>
      <c r="AO74" s="22">
        <v>8</v>
      </c>
      <c r="AZ74" s="24"/>
      <c r="BA74" s="24"/>
      <c r="BB74" s="24"/>
      <c r="BD74" s="24"/>
      <c r="BE74" s="24"/>
      <c r="BF74" s="24"/>
      <c r="BH74" s="24"/>
      <c r="BI74" s="24"/>
      <c r="BJ74" s="24"/>
      <c r="BL74" s="24"/>
      <c r="BM74" s="24"/>
      <c r="BN74" s="24"/>
      <c r="BP74" s="24"/>
      <c r="BQ74" s="24"/>
      <c r="BR74" s="24"/>
      <c r="BT74" s="24"/>
      <c r="BU74" s="24"/>
      <c r="BV74" s="24"/>
      <c r="BX74" s="24"/>
      <c r="BY74" s="24"/>
      <c r="BZ74" s="24"/>
      <c r="CB74" s="24"/>
      <c r="CC74" s="24"/>
      <c r="CD74" s="24"/>
      <c r="CF74" s="24"/>
      <c r="CG74" s="24"/>
      <c r="CH74" s="24"/>
      <c r="CJ74" s="24"/>
      <c r="CK74" s="24"/>
      <c r="CL74" s="24"/>
      <c r="CN74" s="24"/>
      <c r="CO74" s="24"/>
      <c r="CP74" s="24"/>
      <c r="CR74" s="24"/>
      <c r="CS74" s="24"/>
      <c r="CT74" s="24"/>
      <c r="CV74" s="24"/>
      <c r="CW74" s="24"/>
      <c r="CX74" s="24"/>
      <c r="CZ74" s="24"/>
      <c r="DA74" s="24"/>
      <c r="DB74" s="24"/>
      <c r="DD74" s="24"/>
      <c r="DE74" s="24"/>
      <c r="DF74" s="24"/>
    </row>
    <row r="75" spans="1:110" s="22" customFormat="1" x14ac:dyDescent="0.15">
      <c r="A75" s="22">
        <f t="shared" si="0"/>
        <v>0.1215</v>
      </c>
      <c r="B75" s="22">
        <f t="shared" si="1"/>
        <v>4.8150000000000004</v>
      </c>
      <c r="C75" s="22">
        <f t="shared" si="23"/>
        <v>0.44999999999999996</v>
      </c>
      <c r="D75" s="22">
        <f t="shared" si="5"/>
        <v>0.20249999999999996</v>
      </c>
      <c r="E75" s="22">
        <f t="shared" si="6"/>
        <v>0.97503749999999989</v>
      </c>
      <c r="F75" s="22">
        <f t="shared" si="7"/>
        <v>-0.7975000000000001</v>
      </c>
      <c r="G75" s="22">
        <f>1</f>
        <v>1</v>
      </c>
      <c r="H75" s="22">
        <f t="shared" si="8"/>
        <v>0.26326012500000001</v>
      </c>
      <c r="I75" s="22" t="str">
        <f t="shared" si="9"/>
        <v>1+0.263260125j</v>
      </c>
      <c r="K75" s="22" t="str">
        <f t="shared" si="10"/>
        <v>-0.7975-0.2099499496875j</v>
      </c>
      <c r="L75" s="22" t="str">
        <f t="shared" si="11"/>
        <v>0.1775375-0.2099499496875j</v>
      </c>
      <c r="N75" s="22" t="str">
        <f t="shared" si="12"/>
        <v>2.2898022642503+2.70784409025515j</v>
      </c>
      <c r="R75" s="22">
        <f t="shared" si="13"/>
        <v>3.5462112213594308</v>
      </c>
      <c r="T75" s="22">
        <f t="shared" si="2"/>
        <v>1.05</v>
      </c>
      <c r="U75" s="22">
        <f t="shared" si="3"/>
        <v>0.97</v>
      </c>
      <c r="W75" s="22">
        <f t="shared" si="24"/>
        <v>1E-3</v>
      </c>
      <c r="X75" s="22">
        <f t="shared" si="4"/>
        <v>4.8150000000000004</v>
      </c>
      <c r="Y75" s="22">
        <f t="shared" si="25"/>
        <v>0.44999999999999996</v>
      </c>
      <c r="Z75" s="22">
        <f t="shared" si="14"/>
        <v>0.20249999999999996</v>
      </c>
      <c r="AA75" s="22">
        <f t="shared" si="15"/>
        <v>0.97503749999999989</v>
      </c>
      <c r="AB75" s="22">
        <f t="shared" si="16"/>
        <v>-0.7975000000000001</v>
      </c>
      <c r="AC75" s="22">
        <v>1</v>
      </c>
      <c r="AD75" s="22">
        <f t="shared" si="17"/>
        <v>2.1667499999999998E-3</v>
      </c>
      <c r="AE75" s="22" t="str">
        <f t="shared" si="18"/>
        <v>1+0.00216675j</v>
      </c>
      <c r="AG75" s="22" t="str">
        <f t="shared" si="19"/>
        <v>-0.7975-0.001727983125j</v>
      </c>
      <c r="AH75" s="22" t="str">
        <f t="shared" si="20"/>
        <v>0.1775375-0.001727983125j</v>
      </c>
      <c r="AJ75" s="22" t="str">
        <f t="shared" si="21"/>
        <v>5.49148850835998+0.0534489866849396j</v>
      </c>
      <c r="AN75" s="22">
        <f t="shared" si="22"/>
        <v>5.4917486132949831</v>
      </c>
      <c r="AO75" s="22">
        <v>9</v>
      </c>
      <c r="AZ75" s="24"/>
      <c r="BA75" s="24"/>
      <c r="BB75" s="24"/>
      <c r="BD75" s="24"/>
      <c r="BE75" s="24"/>
      <c r="BF75" s="24"/>
      <c r="BH75" s="24"/>
      <c r="BI75" s="24"/>
      <c r="BJ75" s="24"/>
      <c r="BL75" s="24"/>
      <c r="BM75" s="24"/>
      <c r="BN75" s="24"/>
      <c r="BP75" s="24"/>
      <c r="BQ75" s="24"/>
      <c r="BR75" s="24"/>
      <c r="BT75" s="24"/>
      <c r="BU75" s="24"/>
      <c r="BV75" s="24"/>
      <c r="BX75" s="24"/>
      <c r="BY75" s="24"/>
      <c r="BZ75" s="24"/>
      <c r="CB75" s="24"/>
      <c r="CC75" s="24"/>
      <c r="CD75" s="24"/>
      <c r="CF75" s="24"/>
      <c r="CG75" s="24"/>
      <c r="CH75" s="24"/>
      <c r="CJ75" s="24"/>
      <c r="CK75" s="24"/>
      <c r="CL75" s="24"/>
      <c r="CN75" s="24"/>
      <c r="CO75" s="24"/>
      <c r="CP75" s="24"/>
      <c r="CR75" s="24"/>
      <c r="CS75" s="24"/>
      <c r="CT75" s="24"/>
      <c r="CV75" s="24"/>
      <c r="CW75" s="24"/>
      <c r="CX75" s="24"/>
      <c r="CZ75" s="24"/>
      <c r="DA75" s="24"/>
      <c r="DB75" s="24"/>
      <c r="DD75" s="24"/>
      <c r="DE75" s="24"/>
      <c r="DF75" s="24"/>
    </row>
    <row r="76" spans="1:110" s="22" customFormat="1" x14ac:dyDescent="0.15">
      <c r="A76" s="22">
        <f t="shared" si="0"/>
        <v>0.1215</v>
      </c>
      <c r="B76" s="22">
        <f t="shared" si="1"/>
        <v>4.8150000000000004</v>
      </c>
      <c r="C76" s="22">
        <f t="shared" si="23"/>
        <v>0.49999999999999994</v>
      </c>
      <c r="D76" s="22">
        <f t="shared" si="5"/>
        <v>0.24999999999999994</v>
      </c>
      <c r="E76" s="22">
        <f t="shared" si="6"/>
        <v>1.2037499999999999</v>
      </c>
      <c r="F76" s="22">
        <f t="shared" si="7"/>
        <v>-0.75</v>
      </c>
      <c r="G76" s="22">
        <f>1</f>
        <v>1</v>
      </c>
      <c r="H76" s="22">
        <f t="shared" si="8"/>
        <v>0.29251124999999994</v>
      </c>
      <c r="I76" s="22" t="str">
        <f t="shared" si="9"/>
        <v>1+0.29251125j</v>
      </c>
      <c r="K76" s="22" t="str">
        <f t="shared" si="10"/>
        <v>-0.75-0.2193834375j</v>
      </c>
      <c r="L76" s="22" t="str">
        <f t="shared" si="11"/>
        <v>0.45375-0.2193834375j</v>
      </c>
      <c r="N76" s="22" t="str">
        <f t="shared" si="12"/>
        <v>2.15024615929099+1.03962180473042j</v>
      </c>
      <c r="R76" s="22">
        <f t="shared" si="13"/>
        <v>2.3883827252801395</v>
      </c>
      <c r="T76" s="22">
        <f t="shared" si="2"/>
        <v>1.05</v>
      </c>
      <c r="U76" s="22">
        <f t="shared" si="3"/>
        <v>0.97</v>
      </c>
      <c r="W76" s="22">
        <f t="shared" si="24"/>
        <v>1E-3</v>
      </c>
      <c r="X76" s="22">
        <f t="shared" si="4"/>
        <v>4.8150000000000004</v>
      </c>
      <c r="Y76" s="22">
        <f t="shared" si="25"/>
        <v>0.49999999999999994</v>
      </c>
      <c r="Z76" s="22">
        <f t="shared" si="14"/>
        <v>0.24999999999999994</v>
      </c>
      <c r="AA76" s="22">
        <f t="shared" si="15"/>
        <v>1.2037499999999999</v>
      </c>
      <c r="AB76" s="22">
        <f t="shared" si="16"/>
        <v>-0.75</v>
      </c>
      <c r="AC76" s="22">
        <v>1</v>
      </c>
      <c r="AD76" s="22">
        <f t="shared" si="17"/>
        <v>2.4074999999999999E-3</v>
      </c>
      <c r="AE76" s="22" t="str">
        <f t="shared" si="18"/>
        <v>1+0.0024075j</v>
      </c>
      <c r="AG76" s="22" t="str">
        <f t="shared" si="19"/>
        <v>-0.75-0.001805625j</v>
      </c>
      <c r="AH76" s="22" t="str">
        <f t="shared" si="20"/>
        <v>0.45375-0.001805625j</v>
      </c>
      <c r="AJ76" s="22" t="str">
        <f t="shared" si="21"/>
        <v>2.65285055372985+0.0105565912530655j</v>
      </c>
      <c r="AN76" s="22">
        <f t="shared" si="22"/>
        <v>2.6528715577735111</v>
      </c>
      <c r="AO76" s="22">
        <v>10</v>
      </c>
      <c r="AZ76" s="24"/>
      <c r="BA76" s="24"/>
      <c r="BB76" s="24"/>
      <c r="BD76" s="24"/>
      <c r="BE76" s="24"/>
      <c r="BF76" s="24"/>
      <c r="BH76" s="24"/>
      <c r="BI76" s="24"/>
      <c r="BJ76" s="24"/>
      <c r="BL76" s="24"/>
      <c r="BM76" s="24"/>
      <c r="BN76" s="24"/>
      <c r="BP76" s="24"/>
      <c r="BQ76" s="24"/>
      <c r="BR76" s="24"/>
      <c r="BT76" s="24"/>
      <c r="BU76" s="24"/>
      <c r="BV76" s="24"/>
      <c r="BX76" s="24"/>
      <c r="BY76" s="24"/>
      <c r="BZ76" s="24"/>
      <c r="CB76" s="24"/>
      <c r="CC76" s="24"/>
      <c r="CD76" s="24"/>
      <c r="CF76" s="24"/>
      <c r="CG76" s="24"/>
      <c r="CH76" s="24"/>
      <c r="CJ76" s="24"/>
      <c r="CK76" s="24"/>
      <c r="CL76" s="24"/>
      <c r="CN76" s="24"/>
      <c r="CO76" s="24"/>
      <c r="CP76" s="24"/>
      <c r="CR76" s="24"/>
      <c r="CS76" s="24"/>
      <c r="CT76" s="24"/>
      <c r="CV76" s="24"/>
      <c r="CW76" s="24"/>
      <c r="CX76" s="24"/>
      <c r="CZ76" s="24"/>
      <c r="DA76" s="24"/>
      <c r="DB76" s="24"/>
      <c r="DD76" s="24"/>
      <c r="DE76" s="24"/>
      <c r="DF76" s="24"/>
    </row>
    <row r="77" spans="1:110" s="22" customFormat="1" x14ac:dyDescent="0.15">
      <c r="A77" s="22">
        <f t="shared" si="0"/>
        <v>0.1215</v>
      </c>
      <c r="B77" s="22">
        <f t="shared" si="1"/>
        <v>4.8150000000000004</v>
      </c>
      <c r="C77" s="22">
        <f t="shared" si="23"/>
        <v>0.54999999999999993</v>
      </c>
      <c r="D77" s="22">
        <f t="shared" si="5"/>
        <v>0.30249999999999994</v>
      </c>
      <c r="E77" s="22">
        <f t="shared" si="6"/>
        <v>1.4565374999999998</v>
      </c>
      <c r="F77" s="22">
        <f t="shared" si="7"/>
        <v>-0.69750000000000001</v>
      </c>
      <c r="G77" s="22">
        <f>1</f>
        <v>1</v>
      </c>
      <c r="H77" s="22">
        <f t="shared" si="8"/>
        <v>0.32176237499999999</v>
      </c>
      <c r="I77" s="22" t="str">
        <f t="shared" si="9"/>
        <v>1+0.321762375j</v>
      </c>
      <c r="K77" s="22" t="str">
        <f t="shared" si="10"/>
        <v>-0.6975-0.2244292565625j</v>
      </c>
      <c r="L77" s="22" t="str">
        <f t="shared" si="11"/>
        <v>0.7590375-0.2244292565625j</v>
      </c>
      <c r="N77" s="22" t="str">
        <f t="shared" si="12"/>
        <v>1.76465324469983+0.521765809724272j</v>
      </c>
      <c r="R77" s="22">
        <f t="shared" si="13"/>
        <v>1.8401740771532631</v>
      </c>
      <c r="T77" s="22">
        <f t="shared" si="2"/>
        <v>1.05</v>
      </c>
      <c r="U77" s="22">
        <f t="shared" si="3"/>
        <v>0.97</v>
      </c>
      <c r="W77" s="22">
        <f t="shared" si="24"/>
        <v>1E-3</v>
      </c>
      <c r="X77" s="22">
        <f t="shared" si="4"/>
        <v>4.8150000000000004</v>
      </c>
      <c r="Y77" s="22">
        <f t="shared" si="25"/>
        <v>0.54999999999999993</v>
      </c>
      <c r="Z77" s="22">
        <f t="shared" si="14"/>
        <v>0.30249999999999994</v>
      </c>
      <c r="AA77" s="22">
        <f t="shared" si="15"/>
        <v>1.4565374999999998</v>
      </c>
      <c r="AB77" s="22">
        <f t="shared" si="16"/>
        <v>-0.69750000000000001</v>
      </c>
      <c r="AC77" s="22">
        <v>1</v>
      </c>
      <c r="AD77" s="22">
        <f t="shared" si="17"/>
        <v>2.64825E-3</v>
      </c>
      <c r="AE77" s="22" t="str">
        <f t="shared" si="18"/>
        <v>1+0.00264825j</v>
      </c>
      <c r="AG77" s="22" t="str">
        <f t="shared" si="19"/>
        <v>-0.6975-0.001847154375j</v>
      </c>
      <c r="AH77" s="22" t="str">
        <f t="shared" si="20"/>
        <v>0.7590375-0.001847154375j</v>
      </c>
      <c r="AJ77" s="22" t="str">
        <f t="shared" si="21"/>
        <v>1.91891556636827+0.00466977360627472j</v>
      </c>
      <c r="AN77" s="22">
        <f t="shared" si="22"/>
        <v>1.9189212484195366</v>
      </c>
      <c r="AO77" s="22">
        <v>11</v>
      </c>
      <c r="AZ77" s="24"/>
      <c r="BA77" s="24"/>
      <c r="BB77" s="24"/>
      <c r="BD77" s="24"/>
      <c r="BE77" s="24"/>
      <c r="BF77" s="24"/>
      <c r="BH77" s="24"/>
      <c r="BI77" s="24"/>
      <c r="BJ77" s="24"/>
      <c r="BL77" s="24"/>
      <c r="BM77" s="24"/>
      <c r="BN77" s="24"/>
      <c r="BP77" s="24"/>
      <c r="BQ77" s="24"/>
      <c r="BR77" s="24"/>
      <c r="BT77" s="24"/>
      <c r="BU77" s="24"/>
      <c r="BV77" s="24"/>
      <c r="BX77" s="24"/>
      <c r="BY77" s="24"/>
      <c r="BZ77" s="24"/>
      <c r="CB77" s="24"/>
      <c r="CC77" s="24"/>
      <c r="CD77" s="24"/>
      <c r="CF77" s="24"/>
      <c r="CG77" s="24"/>
      <c r="CH77" s="24"/>
      <c r="CJ77" s="24"/>
      <c r="CK77" s="24"/>
      <c r="CL77" s="24"/>
      <c r="CN77" s="24"/>
      <c r="CO77" s="24"/>
      <c r="CP77" s="24"/>
      <c r="CR77" s="24"/>
      <c r="CS77" s="24"/>
      <c r="CT77" s="24"/>
      <c r="CV77" s="24"/>
      <c r="CW77" s="24"/>
      <c r="CX77" s="24"/>
      <c r="CZ77" s="24"/>
      <c r="DA77" s="24"/>
      <c r="DB77" s="24"/>
      <c r="DD77" s="24"/>
      <c r="DE77" s="24"/>
      <c r="DF77" s="24"/>
    </row>
    <row r="78" spans="1:110" s="22" customFormat="1" x14ac:dyDescent="0.15">
      <c r="A78" s="22">
        <f t="shared" si="0"/>
        <v>0.1215</v>
      </c>
      <c r="B78" s="22">
        <f t="shared" si="1"/>
        <v>4.8150000000000004</v>
      </c>
      <c r="C78" s="22">
        <f t="shared" si="23"/>
        <v>0.6</v>
      </c>
      <c r="D78" s="22">
        <f t="shared" si="5"/>
        <v>0.36</v>
      </c>
      <c r="E78" s="22">
        <f t="shared" si="6"/>
        <v>1.7334000000000001</v>
      </c>
      <c r="F78" s="22">
        <f t="shared" si="7"/>
        <v>-0.64</v>
      </c>
      <c r="G78" s="22">
        <f>1</f>
        <v>1</v>
      </c>
      <c r="H78" s="22">
        <f t="shared" si="8"/>
        <v>0.35101350000000003</v>
      </c>
      <c r="I78" s="22" t="str">
        <f t="shared" si="9"/>
        <v>1+0.3510135j</v>
      </c>
      <c r="K78" s="22" t="str">
        <f t="shared" si="10"/>
        <v>-0.64-0.22464864j</v>
      </c>
      <c r="L78" s="22" t="str">
        <f t="shared" si="11"/>
        <v>1.0934-0.22464864j</v>
      </c>
      <c r="N78" s="22" t="str">
        <f t="shared" si="12"/>
        <v>1.52111870139476+0.312527206463234j</v>
      </c>
      <c r="R78" s="22">
        <f t="shared" si="13"/>
        <v>1.5528925779050506</v>
      </c>
      <c r="T78" s="22">
        <f t="shared" si="2"/>
        <v>1.05</v>
      </c>
      <c r="U78" s="22">
        <f t="shared" si="3"/>
        <v>0.97</v>
      </c>
      <c r="W78" s="22">
        <f t="shared" si="24"/>
        <v>1E-3</v>
      </c>
      <c r="X78" s="22">
        <f t="shared" si="4"/>
        <v>4.8150000000000004</v>
      </c>
      <c r="Y78" s="22">
        <f t="shared" si="25"/>
        <v>0.6</v>
      </c>
      <c r="Z78" s="22">
        <f t="shared" si="14"/>
        <v>0.36</v>
      </c>
      <c r="AA78" s="22">
        <f t="shared" si="15"/>
        <v>1.7334000000000001</v>
      </c>
      <c r="AB78" s="22">
        <f t="shared" si="16"/>
        <v>-0.64</v>
      </c>
      <c r="AC78" s="22">
        <v>1</v>
      </c>
      <c r="AD78" s="22">
        <f t="shared" si="17"/>
        <v>2.8890000000000005E-3</v>
      </c>
      <c r="AE78" s="22" t="str">
        <f t="shared" si="18"/>
        <v>1+0.002889j</v>
      </c>
      <c r="AG78" s="22" t="str">
        <f t="shared" si="19"/>
        <v>-0.64-0.00184896j</v>
      </c>
      <c r="AH78" s="22" t="str">
        <f t="shared" si="20"/>
        <v>1.0934-0.00184896j</v>
      </c>
      <c r="AJ78" s="22" t="str">
        <f t="shared" si="21"/>
        <v>1.58532562948542+0.00268081550749347j</v>
      </c>
      <c r="AN78" s="22">
        <f t="shared" si="22"/>
        <v>1.5853278961385651</v>
      </c>
      <c r="AO78" s="22">
        <v>12</v>
      </c>
      <c r="AZ78" s="24"/>
      <c r="BA78" s="24"/>
      <c r="BB78" s="24"/>
      <c r="BD78" s="24"/>
      <c r="BE78" s="24"/>
      <c r="BF78" s="24"/>
      <c r="BH78" s="24"/>
      <c r="BI78" s="24"/>
      <c r="BJ78" s="24"/>
      <c r="BL78" s="24"/>
      <c r="BM78" s="24"/>
      <c r="BN78" s="24"/>
      <c r="BP78" s="24"/>
      <c r="BQ78" s="24"/>
      <c r="BR78" s="24"/>
      <c r="BT78" s="24"/>
      <c r="BU78" s="24"/>
      <c r="BV78" s="24"/>
      <c r="BX78" s="24"/>
      <c r="BY78" s="24"/>
      <c r="BZ78" s="24"/>
      <c r="CB78" s="24"/>
      <c r="CC78" s="24"/>
      <c r="CD78" s="24"/>
      <c r="CF78" s="24"/>
      <c r="CG78" s="24"/>
      <c r="CH78" s="24"/>
      <c r="CJ78" s="24"/>
      <c r="CK78" s="24"/>
      <c r="CL78" s="24"/>
      <c r="CN78" s="24"/>
      <c r="CO78" s="24"/>
      <c r="CP78" s="24"/>
      <c r="CR78" s="24"/>
      <c r="CS78" s="24"/>
      <c r="CT78" s="24"/>
      <c r="CV78" s="24"/>
      <c r="CW78" s="24"/>
      <c r="CX78" s="24"/>
      <c r="CZ78" s="24"/>
      <c r="DA78" s="24"/>
      <c r="DB78" s="24"/>
      <c r="DD78" s="24"/>
      <c r="DE78" s="24"/>
      <c r="DF78" s="24"/>
    </row>
    <row r="79" spans="1:110" s="22" customFormat="1" x14ac:dyDescent="0.15">
      <c r="A79" s="22">
        <f t="shared" si="0"/>
        <v>0.1215</v>
      </c>
      <c r="B79" s="22">
        <f t="shared" si="1"/>
        <v>4.8150000000000004</v>
      </c>
      <c r="C79" s="22">
        <f t="shared" si="23"/>
        <v>0.65</v>
      </c>
      <c r="D79" s="22">
        <f t="shared" si="5"/>
        <v>0.42250000000000004</v>
      </c>
      <c r="E79" s="22">
        <f t="shared" si="6"/>
        <v>2.0343375000000004</v>
      </c>
      <c r="F79" s="22">
        <f t="shared" si="7"/>
        <v>-0.5774999999999999</v>
      </c>
      <c r="G79" s="22">
        <f>1</f>
        <v>1</v>
      </c>
      <c r="H79" s="22">
        <f t="shared" si="8"/>
        <v>0.38026462500000002</v>
      </c>
      <c r="I79" s="22" t="str">
        <f t="shared" si="9"/>
        <v>1+0.380264625j</v>
      </c>
      <c r="K79" s="22" t="str">
        <f t="shared" si="10"/>
        <v>-0.5775-0.2196028209375j</v>
      </c>
      <c r="L79" s="22" t="str">
        <f t="shared" si="11"/>
        <v>1.4568375-0.2196028209375j</v>
      </c>
      <c r="N79" s="22" t="str">
        <f t="shared" si="12"/>
        <v>1.36538188902028+0.20581685636581j</v>
      </c>
      <c r="R79" s="22">
        <f t="shared" si="13"/>
        <v>1.3808071122459111</v>
      </c>
      <c r="T79" s="22">
        <f t="shared" si="2"/>
        <v>1.05</v>
      </c>
      <c r="U79" s="22">
        <f t="shared" si="3"/>
        <v>0.97</v>
      </c>
      <c r="W79" s="22">
        <f t="shared" si="24"/>
        <v>1E-3</v>
      </c>
      <c r="X79" s="22">
        <f t="shared" si="4"/>
        <v>4.8150000000000004</v>
      </c>
      <c r="Y79" s="22">
        <f t="shared" si="25"/>
        <v>0.65</v>
      </c>
      <c r="Z79" s="22">
        <f t="shared" si="14"/>
        <v>0.42250000000000004</v>
      </c>
      <c r="AA79" s="22">
        <f t="shared" si="15"/>
        <v>2.0343375000000004</v>
      </c>
      <c r="AB79" s="22">
        <f t="shared" si="16"/>
        <v>-0.5774999999999999</v>
      </c>
      <c r="AC79" s="22">
        <v>1</v>
      </c>
      <c r="AD79" s="22">
        <f t="shared" si="17"/>
        <v>3.1297500000000006E-3</v>
      </c>
      <c r="AE79" s="22" t="str">
        <f t="shared" si="18"/>
        <v>1+0.00312975j</v>
      </c>
      <c r="AG79" s="22" t="str">
        <f t="shared" si="19"/>
        <v>-0.5775-0.001807430625j</v>
      </c>
      <c r="AH79" s="22" t="str">
        <f t="shared" si="20"/>
        <v>1.4568375-0.001807430625j</v>
      </c>
      <c r="AJ79" s="22" t="str">
        <f t="shared" si="21"/>
        <v>1.39640445053708+0.00173245414727931j</v>
      </c>
      <c r="AN79" s="22">
        <f t="shared" si="22"/>
        <v>1.3964055252243659</v>
      </c>
      <c r="AO79" s="22">
        <v>13</v>
      </c>
      <c r="AZ79" s="24"/>
      <c r="BA79" s="24"/>
      <c r="BB79" s="24"/>
      <c r="BD79" s="24"/>
      <c r="BE79" s="24"/>
      <c r="BF79" s="24"/>
      <c r="BH79" s="24"/>
      <c r="BI79" s="24"/>
      <c r="BJ79" s="24"/>
      <c r="BL79" s="24"/>
      <c r="BM79" s="24"/>
      <c r="BN79" s="24"/>
      <c r="BP79" s="24"/>
      <c r="BQ79" s="24"/>
      <c r="BR79" s="24"/>
      <c r="BT79" s="24"/>
      <c r="BU79" s="24"/>
      <c r="BV79" s="24"/>
      <c r="BX79" s="24"/>
      <c r="BY79" s="24"/>
      <c r="BZ79" s="24"/>
      <c r="CB79" s="24"/>
      <c r="CC79" s="24"/>
      <c r="CD79" s="24"/>
      <c r="CF79" s="24"/>
      <c r="CG79" s="24"/>
      <c r="CH79" s="24"/>
      <c r="CJ79" s="24"/>
      <c r="CK79" s="24"/>
      <c r="CL79" s="24"/>
      <c r="CN79" s="24"/>
      <c r="CO79" s="24"/>
      <c r="CP79" s="24"/>
      <c r="CR79" s="24"/>
      <c r="CS79" s="24"/>
      <c r="CT79" s="24"/>
      <c r="CV79" s="24"/>
      <c r="CW79" s="24"/>
      <c r="CX79" s="24"/>
      <c r="CZ79" s="24"/>
      <c r="DA79" s="24"/>
      <c r="DB79" s="24"/>
      <c r="DD79" s="24"/>
      <c r="DE79" s="24"/>
      <c r="DF79" s="24"/>
    </row>
    <row r="80" spans="1:110" s="22" customFormat="1" x14ac:dyDescent="0.15">
      <c r="A80" s="22">
        <f t="shared" si="0"/>
        <v>0.1215</v>
      </c>
      <c r="B80" s="22">
        <f t="shared" si="1"/>
        <v>4.8150000000000004</v>
      </c>
      <c r="C80" s="22">
        <f t="shared" si="23"/>
        <v>0.70000000000000007</v>
      </c>
      <c r="D80" s="22">
        <f t="shared" si="5"/>
        <v>0.4900000000000001</v>
      </c>
      <c r="E80" s="22">
        <f t="shared" si="6"/>
        <v>2.3593500000000005</v>
      </c>
      <c r="F80" s="22">
        <f t="shared" si="7"/>
        <v>-0.5099999999999999</v>
      </c>
      <c r="G80" s="22">
        <f>1</f>
        <v>1</v>
      </c>
      <c r="H80" s="22">
        <f t="shared" si="8"/>
        <v>0.40951575000000007</v>
      </c>
      <c r="I80" s="22" t="str">
        <f t="shared" si="9"/>
        <v>1+0.40951575j</v>
      </c>
      <c r="K80" s="22" t="str">
        <f t="shared" si="10"/>
        <v>-0.51-0.2088530325j</v>
      </c>
      <c r="L80" s="22" t="str">
        <f t="shared" si="11"/>
        <v>1.84935-0.2088530325j</v>
      </c>
      <c r="N80" s="22" t="str">
        <f t="shared" si="12"/>
        <v>1.25970638686527+0.142262686325698j</v>
      </c>
      <c r="R80" s="22">
        <f t="shared" si="13"/>
        <v>1.2677140265177149</v>
      </c>
      <c r="T80" s="22">
        <f t="shared" si="2"/>
        <v>1.05</v>
      </c>
      <c r="U80" s="22">
        <f t="shared" si="3"/>
        <v>0.97</v>
      </c>
      <c r="W80" s="22">
        <f t="shared" si="24"/>
        <v>1E-3</v>
      </c>
      <c r="X80" s="22">
        <f t="shared" si="4"/>
        <v>4.8150000000000004</v>
      </c>
      <c r="Y80" s="22">
        <f t="shared" si="25"/>
        <v>0.70000000000000007</v>
      </c>
      <c r="Z80" s="22">
        <f t="shared" si="14"/>
        <v>0.4900000000000001</v>
      </c>
      <c r="AA80" s="22">
        <f t="shared" si="15"/>
        <v>2.3593500000000005</v>
      </c>
      <c r="AB80" s="22">
        <f t="shared" si="16"/>
        <v>-0.5099999999999999</v>
      </c>
      <c r="AC80" s="22">
        <v>1</v>
      </c>
      <c r="AD80" s="22">
        <f t="shared" si="17"/>
        <v>3.3705000000000007E-3</v>
      </c>
      <c r="AE80" s="22" t="str">
        <f t="shared" si="18"/>
        <v>1+0.0033705j</v>
      </c>
      <c r="AG80" s="22" t="str">
        <f t="shared" si="19"/>
        <v>-0.51-0.001718955j</v>
      </c>
      <c r="AH80" s="22" t="str">
        <f t="shared" si="20"/>
        <v>1.84935-0.001718955j</v>
      </c>
      <c r="AJ80" s="22" t="str">
        <f t="shared" si="21"/>
        <v>1.27577146653207+0.00118581866128782j</v>
      </c>
      <c r="AN80" s="22">
        <f t="shared" si="22"/>
        <v>1.2757720176361003</v>
      </c>
      <c r="AO80" s="22">
        <v>14</v>
      </c>
      <c r="AZ80" s="24"/>
      <c r="BA80" s="24"/>
      <c r="BB80" s="24"/>
      <c r="BD80" s="24"/>
      <c r="BE80" s="24"/>
      <c r="BF80" s="24"/>
      <c r="BH80" s="24"/>
      <c r="BI80" s="24"/>
      <c r="BJ80" s="24"/>
      <c r="BL80" s="24"/>
      <c r="BM80" s="24"/>
      <c r="BN80" s="24"/>
      <c r="BP80" s="24"/>
      <c r="BQ80" s="24"/>
      <c r="BR80" s="24"/>
      <c r="BT80" s="24"/>
      <c r="BU80" s="24"/>
      <c r="BV80" s="24"/>
      <c r="BX80" s="24"/>
      <c r="BY80" s="24"/>
      <c r="BZ80" s="24"/>
      <c r="CB80" s="24"/>
      <c r="CC80" s="24"/>
      <c r="CD80" s="24"/>
      <c r="CF80" s="24"/>
      <c r="CG80" s="24"/>
      <c r="CH80" s="24"/>
      <c r="CJ80" s="24"/>
      <c r="CK80" s="24"/>
      <c r="CL80" s="24"/>
      <c r="CN80" s="24"/>
      <c r="CO80" s="24"/>
      <c r="CP80" s="24"/>
      <c r="CR80" s="24"/>
      <c r="CS80" s="24"/>
      <c r="CT80" s="24"/>
      <c r="CV80" s="24"/>
      <c r="CW80" s="24"/>
      <c r="CX80" s="24"/>
      <c r="CZ80" s="24"/>
      <c r="DA80" s="24"/>
      <c r="DB80" s="24"/>
      <c r="DD80" s="24"/>
      <c r="DE80" s="24"/>
      <c r="DF80" s="24"/>
    </row>
    <row r="81" spans="1:110" s="22" customFormat="1" x14ac:dyDescent="0.15">
      <c r="A81" s="22">
        <f t="shared" si="0"/>
        <v>0.1215</v>
      </c>
      <c r="B81" s="22">
        <f t="shared" si="1"/>
        <v>4.8150000000000004</v>
      </c>
      <c r="C81" s="22">
        <f t="shared" si="23"/>
        <v>0.75000000000000011</v>
      </c>
      <c r="D81" s="22">
        <f t="shared" si="5"/>
        <v>0.56250000000000022</v>
      </c>
      <c r="E81" s="22">
        <f t="shared" si="6"/>
        <v>2.7084375000000014</v>
      </c>
      <c r="F81" s="22">
        <f t="shared" si="7"/>
        <v>-0.43749999999999978</v>
      </c>
      <c r="G81" s="22">
        <f>1</f>
        <v>1</v>
      </c>
      <c r="H81" s="22">
        <f t="shared" si="8"/>
        <v>0.43876687500000011</v>
      </c>
      <c r="I81" s="22" t="str">
        <f t="shared" si="9"/>
        <v>1+0.438766875j</v>
      </c>
      <c r="K81" s="22" t="str">
        <f t="shared" si="10"/>
        <v>-0.4375-0.1919605078125j</v>
      </c>
      <c r="L81" s="22" t="str">
        <f t="shared" si="11"/>
        <v>2.2709375-0.1919605078125j</v>
      </c>
      <c r="N81" s="22" t="str">
        <f t="shared" si="12"/>
        <v>1.18419045454534+0.100098660135402j</v>
      </c>
      <c r="R81" s="22">
        <f t="shared" si="13"/>
        <v>1.1884135536071616</v>
      </c>
      <c r="T81" s="22">
        <f t="shared" si="2"/>
        <v>1.05</v>
      </c>
      <c r="U81" s="22">
        <f t="shared" si="3"/>
        <v>0.97</v>
      </c>
      <c r="W81" s="22">
        <f t="shared" si="24"/>
        <v>1E-3</v>
      </c>
      <c r="X81" s="22">
        <f t="shared" si="4"/>
        <v>4.8150000000000004</v>
      </c>
      <c r="Y81" s="22">
        <f t="shared" si="25"/>
        <v>0.75000000000000011</v>
      </c>
      <c r="Z81" s="22">
        <f t="shared" si="14"/>
        <v>0.56250000000000022</v>
      </c>
      <c r="AA81" s="22">
        <f t="shared" si="15"/>
        <v>2.7084375000000014</v>
      </c>
      <c r="AB81" s="22">
        <f t="shared" si="16"/>
        <v>-0.43749999999999978</v>
      </c>
      <c r="AC81" s="22">
        <v>1</v>
      </c>
      <c r="AD81" s="22">
        <f t="shared" si="17"/>
        <v>3.6112500000000012E-3</v>
      </c>
      <c r="AE81" s="22" t="str">
        <f t="shared" si="18"/>
        <v>1+0.00361125j</v>
      </c>
      <c r="AG81" s="22" t="str">
        <f t="shared" si="19"/>
        <v>-0.4375-0.001579921875j</v>
      </c>
      <c r="AH81" s="22" t="str">
        <f t="shared" si="20"/>
        <v>2.2709375-0.001579921875j</v>
      </c>
      <c r="AJ81" s="22" t="str">
        <f t="shared" si="21"/>
        <v>1.19265113596041+0.000829743495339461j</v>
      </c>
      <c r="AN81" s="22">
        <f t="shared" si="22"/>
        <v>1.1926514245922504</v>
      </c>
      <c r="AO81" s="22">
        <v>15</v>
      </c>
      <c r="AZ81" s="24"/>
      <c r="BA81" s="24"/>
      <c r="BB81" s="24"/>
      <c r="BD81" s="24"/>
      <c r="BE81" s="24"/>
      <c r="BF81" s="24"/>
      <c r="BH81" s="24"/>
      <c r="BI81" s="24"/>
      <c r="BJ81" s="24"/>
      <c r="BL81" s="24"/>
      <c r="BM81" s="24"/>
      <c r="BN81" s="24"/>
      <c r="BP81" s="24"/>
      <c r="BQ81" s="24"/>
      <c r="BR81" s="24"/>
      <c r="BT81" s="24"/>
      <c r="BU81" s="24"/>
      <c r="BV81" s="24"/>
      <c r="BX81" s="24"/>
      <c r="BY81" s="24"/>
      <c r="BZ81" s="24"/>
      <c r="CB81" s="24"/>
      <c r="CC81" s="24"/>
      <c r="CD81" s="24"/>
      <c r="CF81" s="24"/>
      <c r="CG81" s="24"/>
      <c r="CH81" s="24"/>
      <c r="CJ81" s="24"/>
      <c r="CK81" s="24"/>
      <c r="CL81" s="24"/>
      <c r="CN81" s="24"/>
      <c r="CO81" s="24"/>
      <c r="CP81" s="24"/>
      <c r="CR81" s="24"/>
      <c r="CS81" s="24"/>
      <c r="CT81" s="24"/>
      <c r="CV81" s="24"/>
      <c r="CW81" s="24"/>
      <c r="CX81" s="24"/>
      <c r="CZ81" s="24"/>
      <c r="DA81" s="24"/>
      <c r="DB81" s="24"/>
      <c r="DD81" s="24"/>
      <c r="DE81" s="24"/>
      <c r="DF81" s="24"/>
    </row>
    <row r="82" spans="1:110" s="22" customFormat="1" x14ac:dyDescent="0.15">
      <c r="A82" s="22">
        <f t="shared" si="0"/>
        <v>0.1215</v>
      </c>
      <c r="B82" s="22">
        <f t="shared" si="1"/>
        <v>4.8150000000000004</v>
      </c>
      <c r="C82" s="22">
        <f t="shared" si="23"/>
        <v>0.80000000000000016</v>
      </c>
      <c r="D82" s="22">
        <f t="shared" si="5"/>
        <v>0.64000000000000024</v>
      </c>
      <c r="E82" s="22">
        <f t="shared" si="6"/>
        <v>3.0816000000000012</v>
      </c>
      <c r="F82" s="22">
        <f t="shared" si="7"/>
        <v>-0.35999999999999976</v>
      </c>
      <c r="G82" s="22">
        <f>1</f>
        <v>1</v>
      </c>
      <c r="H82" s="22">
        <f t="shared" si="8"/>
        <v>0.46801800000000016</v>
      </c>
      <c r="I82" s="22" t="str">
        <f t="shared" si="9"/>
        <v>1+0.468018j</v>
      </c>
      <c r="K82" s="22" t="str">
        <f t="shared" si="10"/>
        <v>-0.36-0.16848648j</v>
      </c>
      <c r="L82" s="22" t="str">
        <f t="shared" si="11"/>
        <v>2.7216-0.16848648j</v>
      </c>
      <c r="N82" s="22" t="str">
        <f t="shared" si="12"/>
        <v>1.12795226162037+0.0698283017961693j</v>
      </c>
      <c r="R82" s="22">
        <f t="shared" si="13"/>
        <v>1.1301116299845095</v>
      </c>
      <c r="T82" s="22">
        <f t="shared" si="2"/>
        <v>1.05</v>
      </c>
      <c r="U82" s="22">
        <f t="shared" si="3"/>
        <v>0.97</v>
      </c>
      <c r="W82" s="22">
        <f t="shared" si="24"/>
        <v>1E-3</v>
      </c>
      <c r="X82" s="22">
        <f t="shared" si="4"/>
        <v>4.8150000000000004</v>
      </c>
      <c r="Y82" s="22">
        <f t="shared" si="25"/>
        <v>0.80000000000000016</v>
      </c>
      <c r="Z82" s="22">
        <f t="shared" si="14"/>
        <v>0.64000000000000024</v>
      </c>
      <c r="AA82" s="22">
        <f t="shared" si="15"/>
        <v>3.0816000000000012</v>
      </c>
      <c r="AB82" s="22">
        <f t="shared" si="16"/>
        <v>-0.35999999999999976</v>
      </c>
      <c r="AC82" s="22">
        <v>1</v>
      </c>
      <c r="AD82" s="22">
        <f t="shared" si="17"/>
        <v>3.8520000000000013E-3</v>
      </c>
      <c r="AE82" s="22" t="str">
        <f t="shared" si="18"/>
        <v>1+0.003852j</v>
      </c>
      <c r="AG82" s="22" t="str">
        <f t="shared" si="19"/>
        <v>-0.36-0.00138672j</v>
      </c>
      <c r="AH82" s="22" t="str">
        <f t="shared" si="20"/>
        <v>2.7216-0.00138672j</v>
      </c>
      <c r="AJ82" s="22" t="str">
        <f t="shared" si="21"/>
        <v>1.13227483832015+0.00057692098904884j</v>
      </c>
      <c r="AN82" s="22">
        <f t="shared" si="22"/>
        <v>1.1322749852976306</v>
      </c>
      <c r="AO82" s="22">
        <v>16</v>
      </c>
      <c r="AZ82" s="24"/>
      <c r="BA82" s="24"/>
      <c r="BB82" s="24"/>
      <c r="BD82" s="24"/>
      <c r="BE82" s="24"/>
      <c r="BF82" s="24"/>
      <c r="BH82" s="24"/>
      <c r="BI82" s="24"/>
      <c r="BJ82" s="24"/>
      <c r="BL82" s="24"/>
      <c r="BM82" s="24"/>
      <c r="BN82" s="24"/>
      <c r="BP82" s="24"/>
      <c r="BQ82" s="24"/>
      <c r="BR82" s="24"/>
      <c r="BT82" s="24"/>
      <c r="BU82" s="24"/>
      <c r="BV82" s="24"/>
      <c r="BX82" s="24"/>
      <c r="BY82" s="24"/>
      <c r="BZ82" s="24"/>
      <c r="CB82" s="24"/>
      <c r="CC82" s="24"/>
      <c r="CD82" s="24"/>
      <c r="CF82" s="24"/>
      <c r="CG82" s="24"/>
      <c r="CH82" s="24"/>
      <c r="CJ82" s="24"/>
      <c r="CK82" s="24"/>
      <c r="CL82" s="24"/>
      <c r="CN82" s="24"/>
      <c r="CO82" s="24"/>
      <c r="CP82" s="24"/>
      <c r="CR82" s="24"/>
      <c r="CS82" s="24"/>
      <c r="CT82" s="24"/>
      <c r="CV82" s="24"/>
      <c r="CW82" s="24"/>
      <c r="CX82" s="24"/>
      <c r="CZ82" s="24"/>
      <c r="DA82" s="24"/>
      <c r="DB82" s="24"/>
      <c r="DD82" s="24"/>
      <c r="DE82" s="24"/>
      <c r="DF82" s="24"/>
    </row>
    <row r="83" spans="1:110" s="22" customFormat="1" x14ac:dyDescent="0.15">
      <c r="A83" s="22">
        <f t="shared" si="0"/>
        <v>0.1215</v>
      </c>
      <c r="B83" s="22">
        <f t="shared" si="1"/>
        <v>4.8150000000000004</v>
      </c>
      <c r="C83" s="22">
        <f t="shared" si="23"/>
        <v>0.8500000000000002</v>
      </c>
      <c r="D83" s="22">
        <f t="shared" si="5"/>
        <v>0.72250000000000036</v>
      </c>
      <c r="E83" s="22">
        <f t="shared" si="6"/>
        <v>3.4788375000000022</v>
      </c>
      <c r="F83" s="22">
        <f t="shared" si="7"/>
        <v>-0.27749999999999964</v>
      </c>
      <c r="G83" s="22">
        <f>1</f>
        <v>1</v>
      </c>
      <c r="H83" s="22">
        <f t="shared" si="8"/>
        <v>0.49726912500000015</v>
      </c>
      <c r="I83" s="22" t="str">
        <f t="shared" si="9"/>
        <v>1+0.497269125j</v>
      </c>
      <c r="K83" s="22" t="str">
        <f t="shared" si="10"/>
        <v>-0.2775-0.1379921821875j</v>
      </c>
      <c r="L83" s="22" t="str">
        <f t="shared" si="11"/>
        <v>3.2013375-0.1379921821875j</v>
      </c>
      <c r="N83" s="22" t="str">
        <f t="shared" si="12"/>
        <v>1.08466720620761+0.0467540816086423j</v>
      </c>
      <c r="R83" s="22">
        <f t="shared" si="13"/>
        <v>1.0856743951891328</v>
      </c>
      <c r="T83" s="22">
        <f t="shared" si="2"/>
        <v>1.05</v>
      </c>
      <c r="U83" s="22">
        <f t="shared" si="3"/>
        <v>0.97</v>
      </c>
      <c r="W83" s="22">
        <f t="shared" si="24"/>
        <v>1E-3</v>
      </c>
      <c r="X83" s="22">
        <f t="shared" si="4"/>
        <v>4.8150000000000004</v>
      </c>
      <c r="Y83" s="22">
        <f t="shared" si="25"/>
        <v>0.8500000000000002</v>
      </c>
      <c r="Z83" s="22">
        <f t="shared" si="14"/>
        <v>0.72250000000000036</v>
      </c>
      <c r="AA83" s="22">
        <f t="shared" si="15"/>
        <v>3.4788375000000022</v>
      </c>
      <c r="AB83" s="22">
        <f t="shared" si="16"/>
        <v>-0.27749999999999964</v>
      </c>
      <c r="AC83" s="22">
        <v>1</v>
      </c>
      <c r="AD83" s="22">
        <f t="shared" si="17"/>
        <v>4.0927500000000018E-3</v>
      </c>
      <c r="AE83" s="22" t="str">
        <f t="shared" si="18"/>
        <v>1+0.00409275j</v>
      </c>
      <c r="AG83" s="22" t="str">
        <f t="shared" si="19"/>
        <v>-0.2775-0.001135738125j</v>
      </c>
      <c r="AH83" s="22" t="str">
        <f t="shared" si="20"/>
        <v>3.2013375-0.001135738125j</v>
      </c>
      <c r="AJ83" s="22" t="str">
        <f t="shared" si="21"/>
        <v>1.08668238264406+0.000385522179943443j</v>
      </c>
      <c r="AN83" s="22">
        <f t="shared" si="22"/>
        <v>1.0866824510298867</v>
      </c>
      <c r="AO83" s="22">
        <v>17</v>
      </c>
      <c r="AZ83" s="24"/>
      <c r="BA83" s="24"/>
      <c r="BB83" s="24"/>
      <c r="BD83" s="24"/>
      <c r="BE83" s="24"/>
      <c r="BF83" s="24"/>
      <c r="BH83" s="24"/>
      <c r="BI83" s="24"/>
      <c r="BJ83" s="24"/>
      <c r="BL83" s="24"/>
      <c r="BM83" s="24"/>
      <c r="BN83" s="24"/>
      <c r="BP83" s="24"/>
      <c r="BQ83" s="24"/>
      <c r="BR83" s="24"/>
      <c r="BT83" s="24"/>
      <c r="BU83" s="24"/>
      <c r="BV83" s="24"/>
      <c r="BX83" s="24"/>
      <c r="BY83" s="24"/>
      <c r="BZ83" s="24"/>
      <c r="CB83" s="24"/>
      <c r="CC83" s="24"/>
      <c r="CD83" s="24"/>
      <c r="CF83" s="24"/>
      <c r="CG83" s="24"/>
      <c r="CH83" s="24"/>
      <c r="CJ83" s="24"/>
      <c r="CK83" s="24"/>
      <c r="CL83" s="24"/>
      <c r="CN83" s="24"/>
      <c r="CO83" s="24"/>
      <c r="CP83" s="24"/>
      <c r="CR83" s="24"/>
      <c r="CS83" s="24"/>
      <c r="CT83" s="24"/>
      <c r="CV83" s="24"/>
      <c r="CW83" s="24"/>
      <c r="CX83" s="24"/>
      <c r="CZ83" s="24"/>
      <c r="DA83" s="24"/>
      <c r="DB83" s="24"/>
      <c r="DD83" s="24"/>
      <c r="DE83" s="24"/>
      <c r="DF83" s="24"/>
    </row>
    <row r="84" spans="1:110" s="22" customFormat="1" x14ac:dyDescent="0.15">
      <c r="A84" s="22">
        <f t="shared" si="0"/>
        <v>0.1215</v>
      </c>
      <c r="B84" s="22">
        <f t="shared" si="1"/>
        <v>4.8150000000000004</v>
      </c>
      <c r="C84" s="22">
        <f t="shared" si="23"/>
        <v>0.90000000000000024</v>
      </c>
      <c r="D84" s="22">
        <f t="shared" si="5"/>
        <v>0.81000000000000039</v>
      </c>
      <c r="E84" s="22">
        <f t="shared" si="6"/>
        <v>3.9001500000000022</v>
      </c>
      <c r="F84" s="22">
        <f t="shared" si="7"/>
        <v>-0.18999999999999961</v>
      </c>
      <c r="G84" s="22">
        <f>1</f>
        <v>1</v>
      </c>
      <c r="H84" s="22">
        <f t="shared" si="8"/>
        <v>0.52652025000000025</v>
      </c>
      <c r="I84" s="22" t="str">
        <f t="shared" si="9"/>
        <v>1+0.52652025j</v>
      </c>
      <c r="K84" s="22" t="str">
        <f t="shared" si="10"/>
        <v>-0.19-0.1000388475j</v>
      </c>
      <c r="L84" s="22" t="str">
        <f t="shared" si="11"/>
        <v>3.71015-0.1000388475j</v>
      </c>
      <c r="N84" s="22" t="str">
        <f t="shared" si="12"/>
        <v>1.05044715721133+0.0283237936382821j</v>
      </c>
      <c r="R84" s="22">
        <f t="shared" si="13"/>
        <v>1.0508289429680877</v>
      </c>
      <c r="T84" s="22">
        <f t="shared" si="2"/>
        <v>1.05</v>
      </c>
      <c r="U84" s="22">
        <f t="shared" si="3"/>
        <v>0.97</v>
      </c>
      <c r="W84" s="22">
        <f t="shared" si="24"/>
        <v>1E-3</v>
      </c>
      <c r="X84" s="22">
        <f t="shared" si="4"/>
        <v>4.8150000000000004</v>
      </c>
      <c r="Y84" s="22">
        <f t="shared" si="25"/>
        <v>0.90000000000000024</v>
      </c>
      <c r="Z84" s="22">
        <f t="shared" si="14"/>
        <v>0.81000000000000039</v>
      </c>
      <c r="AA84" s="22">
        <f t="shared" si="15"/>
        <v>3.9001500000000022</v>
      </c>
      <c r="AB84" s="22">
        <f t="shared" si="16"/>
        <v>-0.18999999999999961</v>
      </c>
      <c r="AC84" s="22">
        <v>1</v>
      </c>
      <c r="AD84" s="22">
        <f t="shared" si="17"/>
        <v>4.3335000000000014E-3</v>
      </c>
      <c r="AE84" s="22" t="str">
        <f t="shared" si="18"/>
        <v>1+0.0043335j</v>
      </c>
      <c r="AG84" s="22" t="str">
        <f t="shared" si="19"/>
        <v>-0.19-0.000823364999999998j</v>
      </c>
      <c r="AH84" s="22" t="str">
        <f t="shared" si="20"/>
        <v>3.71015-0.000823364999999998j</v>
      </c>
      <c r="AJ84" s="22" t="str">
        <f t="shared" si="21"/>
        <v>1.05121081571353+0.000233287115960263j</v>
      </c>
      <c r="AN84" s="22">
        <f t="shared" si="22"/>
        <v>1.0512108415993358</v>
      </c>
      <c r="AO84" s="22">
        <v>18</v>
      </c>
      <c r="BD84" s="24"/>
      <c r="BE84" s="24"/>
      <c r="BF84" s="24"/>
      <c r="BH84" s="24"/>
      <c r="BI84" s="24"/>
      <c r="BJ84" s="24"/>
      <c r="BL84" s="24"/>
      <c r="BM84" s="24"/>
      <c r="BN84" s="24"/>
      <c r="BP84" s="24"/>
      <c r="BQ84" s="24"/>
      <c r="BR84" s="24"/>
      <c r="BT84" s="24"/>
      <c r="BU84" s="24"/>
      <c r="BV84" s="24"/>
      <c r="BX84" s="24"/>
      <c r="BY84" s="24"/>
      <c r="BZ84" s="24"/>
      <c r="CB84" s="24"/>
      <c r="CC84" s="24"/>
      <c r="CD84" s="24"/>
      <c r="CF84" s="24"/>
      <c r="CG84" s="24"/>
      <c r="CH84" s="24"/>
      <c r="CJ84" s="24"/>
      <c r="CK84" s="24"/>
      <c r="CL84" s="24"/>
      <c r="CN84" s="24"/>
      <c r="CO84" s="24"/>
      <c r="CP84" s="24"/>
      <c r="CR84" s="24"/>
      <c r="CS84" s="24"/>
      <c r="CT84" s="24"/>
      <c r="CV84" s="24"/>
      <c r="CW84" s="24"/>
      <c r="CX84" s="24"/>
      <c r="CZ84" s="24"/>
      <c r="DA84" s="24"/>
      <c r="DB84" s="24"/>
      <c r="DD84" s="24"/>
      <c r="DE84" s="24"/>
      <c r="DF84" s="24"/>
    </row>
    <row r="85" spans="1:110" s="22" customFormat="1" x14ac:dyDescent="0.15">
      <c r="A85" s="22">
        <f t="shared" si="0"/>
        <v>0.1215</v>
      </c>
      <c r="B85" s="22">
        <f t="shared" si="1"/>
        <v>4.8150000000000004</v>
      </c>
      <c r="C85" s="22">
        <f t="shared" si="23"/>
        <v>0.95000000000000029</v>
      </c>
      <c r="D85" s="22">
        <f t="shared" si="5"/>
        <v>0.90250000000000052</v>
      </c>
      <c r="E85" s="22">
        <f t="shared" si="6"/>
        <v>4.3455375000000025</v>
      </c>
      <c r="F85" s="22">
        <f t="shared" si="7"/>
        <v>-9.7499999999999476E-2</v>
      </c>
      <c r="G85" s="22">
        <f>1</f>
        <v>1</v>
      </c>
      <c r="H85" s="22">
        <f t="shared" si="8"/>
        <v>0.55577137500000018</v>
      </c>
      <c r="I85" s="22" t="str">
        <f t="shared" si="9"/>
        <v>1+0.555771375j</v>
      </c>
      <c r="K85" s="22" t="str">
        <f t="shared" si="10"/>
        <v>-0.0974999999999995-0.0541877090624997j</v>
      </c>
      <c r="L85" s="22" t="str">
        <f t="shared" si="11"/>
        <v>4.2480375-0.0541877090624997j</v>
      </c>
      <c r="N85" s="22" t="str">
        <f t="shared" si="12"/>
        <v>1.02278535330352+0.0130465880205146j</v>
      </c>
      <c r="R85" s="22">
        <f t="shared" si="13"/>
        <v>1.022868560662211</v>
      </c>
      <c r="T85" s="22">
        <f t="shared" si="2"/>
        <v>1.05</v>
      </c>
      <c r="U85" s="22">
        <f t="shared" si="3"/>
        <v>0.97</v>
      </c>
      <c r="W85" s="22">
        <f t="shared" si="24"/>
        <v>1E-3</v>
      </c>
      <c r="X85" s="22">
        <f t="shared" si="4"/>
        <v>4.8150000000000004</v>
      </c>
      <c r="Y85" s="22">
        <f t="shared" si="25"/>
        <v>0.95000000000000029</v>
      </c>
      <c r="Z85" s="22">
        <f t="shared" si="14"/>
        <v>0.90250000000000052</v>
      </c>
      <c r="AA85" s="22">
        <f t="shared" si="15"/>
        <v>4.3455375000000025</v>
      </c>
      <c r="AB85" s="22">
        <f t="shared" si="16"/>
        <v>-9.7499999999999476E-2</v>
      </c>
      <c r="AC85" s="22">
        <v>1</v>
      </c>
      <c r="AD85" s="22">
        <f t="shared" si="17"/>
        <v>4.5742500000000019E-3</v>
      </c>
      <c r="AE85" s="22" t="str">
        <f t="shared" si="18"/>
        <v>1+0.00457425j</v>
      </c>
      <c r="AG85" s="22" t="str">
        <f t="shared" si="19"/>
        <v>-0.0974999999999995-0.000445989374999998j</v>
      </c>
      <c r="AH85" s="22" t="str">
        <f t="shared" si="20"/>
        <v>4.2480375-0.000445989374999998j</v>
      </c>
      <c r="AJ85" s="22" t="str">
        <f t="shared" si="21"/>
        <v>1.02295176351484+0.000107396796206514j</v>
      </c>
      <c r="AN85" s="22">
        <f t="shared" si="22"/>
        <v>1.0229517691524819</v>
      </c>
      <c r="AO85" s="22">
        <v>19</v>
      </c>
      <c r="CB85" s="24"/>
      <c r="CC85" s="24"/>
      <c r="CD85" s="24"/>
    </row>
    <row r="86" spans="1:110" s="22" customFormat="1" x14ac:dyDescent="0.15">
      <c r="A86" s="22">
        <f t="shared" si="0"/>
        <v>0.1215</v>
      </c>
      <c r="B86" s="22">
        <f t="shared" si="1"/>
        <v>4.8150000000000004</v>
      </c>
      <c r="C86" s="22">
        <f t="shared" si="23"/>
        <v>1.0000000000000002</v>
      </c>
      <c r="D86" s="22">
        <f t="shared" si="5"/>
        <v>1.0000000000000004</v>
      </c>
      <c r="E86" s="22">
        <f t="shared" si="6"/>
        <v>4.8150000000000022</v>
      </c>
      <c r="F86" s="22">
        <f t="shared" si="7"/>
        <v>0</v>
      </c>
      <c r="G86" s="22">
        <f>1</f>
        <v>1</v>
      </c>
      <c r="H86" s="22">
        <f t="shared" si="8"/>
        <v>0.58502250000000011</v>
      </c>
      <c r="I86" s="22" t="str">
        <f t="shared" si="9"/>
        <v>1+0.5850225j</v>
      </c>
      <c r="K86" s="22" t="str">
        <f t="shared" si="10"/>
        <v>0</v>
      </c>
      <c r="L86" s="22" t="str">
        <f t="shared" si="11"/>
        <v>4.815</v>
      </c>
      <c r="N86" s="22" t="str">
        <f t="shared" si="12"/>
        <v>1</v>
      </c>
      <c r="R86" s="22">
        <f t="shared" si="13"/>
        <v>1</v>
      </c>
      <c r="T86" s="22">
        <f t="shared" si="2"/>
        <v>1.05</v>
      </c>
      <c r="U86" s="22">
        <f t="shared" si="3"/>
        <v>0.97</v>
      </c>
      <c r="W86" s="22">
        <f t="shared" si="24"/>
        <v>1E-3</v>
      </c>
      <c r="X86" s="22">
        <f t="shared" si="4"/>
        <v>4.8150000000000004</v>
      </c>
      <c r="Y86" s="22">
        <f t="shared" si="25"/>
        <v>1.0000000000000002</v>
      </c>
      <c r="Z86" s="22">
        <f t="shared" si="14"/>
        <v>1.0000000000000004</v>
      </c>
      <c r="AA86" s="22">
        <f t="shared" si="15"/>
        <v>4.8150000000000022</v>
      </c>
      <c r="AB86" s="22">
        <f t="shared" si="16"/>
        <v>0</v>
      </c>
      <c r="AC86" s="22">
        <v>1</v>
      </c>
      <c r="AD86" s="22">
        <f t="shared" si="17"/>
        <v>4.8150000000000016E-3</v>
      </c>
      <c r="AE86" s="22" t="str">
        <f t="shared" si="18"/>
        <v>1+0.004815j</v>
      </c>
      <c r="AG86" s="22" t="str">
        <f t="shared" si="19"/>
        <v>0</v>
      </c>
      <c r="AH86" s="22" t="str">
        <f t="shared" si="20"/>
        <v>4.815</v>
      </c>
      <c r="AJ86" s="22" t="str">
        <f t="shared" si="21"/>
        <v>1</v>
      </c>
      <c r="AN86" s="22">
        <f t="shared" si="22"/>
        <v>1</v>
      </c>
      <c r="AO86" s="22">
        <v>20</v>
      </c>
      <c r="CB86" s="24"/>
      <c r="CC86" s="24"/>
      <c r="CD86" s="24"/>
    </row>
    <row r="87" spans="1:110" s="22" customFormat="1" x14ac:dyDescent="0.15">
      <c r="A87" s="22">
        <f t="shared" si="0"/>
        <v>0.1215</v>
      </c>
      <c r="B87" s="22">
        <f t="shared" si="1"/>
        <v>4.8150000000000004</v>
      </c>
      <c r="C87" s="22">
        <f t="shared" si="23"/>
        <v>1.0500000000000003</v>
      </c>
      <c r="D87" s="22">
        <f t="shared" si="5"/>
        <v>1.1025000000000005</v>
      </c>
      <c r="E87" s="22">
        <f t="shared" si="6"/>
        <v>5.3085375000000026</v>
      </c>
      <c r="F87" s="22">
        <f t="shared" si="7"/>
        <v>0.10250000000000048</v>
      </c>
      <c r="G87" s="22">
        <f>1</f>
        <v>1</v>
      </c>
      <c r="H87" s="22">
        <f t="shared" si="8"/>
        <v>0.61427362500000016</v>
      </c>
      <c r="I87" s="22" t="str">
        <f t="shared" si="9"/>
        <v>1+0.614273625j</v>
      </c>
      <c r="K87" s="22" t="str">
        <f t="shared" si="10"/>
        <v>0.1025+0.0629630465625003j</v>
      </c>
      <c r="L87" s="22" t="str">
        <f t="shared" si="11"/>
        <v>5.4110375+0.0629630465625003j</v>
      </c>
      <c r="N87" s="22" t="str">
        <f t="shared" si="12"/>
        <v>0.980924422541568-0.0114140754135928j</v>
      </c>
      <c r="R87" s="22">
        <f t="shared" si="13"/>
        <v>0.98099082761056222</v>
      </c>
      <c r="T87" s="22">
        <f t="shared" si="2"/>
        <v>1.05</v>
      </c>
      <c r="U87" s="22">
        <f t="shared" si="3"/>
        <v>0.97</v>
      </c>
      <c r="W87" s="22">
        <f t="shared" si="24"/>
        <v>1E-3</v>
      </c>
      <c r="X87" s="22">
        <f t="shared" si="4"/>
        <v>4.8150000000000004</v>
      </c>
      <c r="Y87" s="22">
        <f t="shared" si="25"/>
        <v>1.0500000000000003</v>
      </c>
      <c r="Z87" s="22">
        <f t="shared" si="14"/>
        <v>1.1025000000000005</v>
      </c>
      <c r="AA87" s="22">
        <f t="shared" si="15"/>
        <v>5.3085375000000026</v>
      </c>
      <c r="AB87" s="22">
        <f t="shared" si="16"/>
        <v>0.10250000000000048</v>
      </c>
      <c r="AC87" s="22">
        <v>1</v>
      </c>
      <c r="AD87" s="22">
        <f t="shared" si="17"/>
        <v>5.0557500000000012E-3</v>
      </c>
      <c r="AE87" s="22" t="str">
        <f t="shared" si="18"/>
        <v>1+0.00505575j</v>
      </c>
      <c r="AG87" s="22" t="str">
        <f t="shared" si="19"/>
        <v>0.1025+0.000518214375000002j</v>
      </c>
      <c r="AH87" s="22" t="str">
        <f t="shared" si="20"/>
        <v>5.4110375+0.000518214375000002j</v>
      </c>
      <c r="AJ87" s="22" t="str">
        <f t="shared" si="21"/>
        <v>0.981057228176814-0.0000939557262981234j</v>
      </c>
      <c r="AN87" s="22">
        <f t="shared" si="22"/>
        <v>0.98105723267587797</v>
      </c>
      <c r="AO87" s="22">
        <v>21</v>
      </c>
      <c r="CB87" s="24"/>
      <c r="CC87" s="24"/>
      <c r="CD87" s="24"/>
    </row>
    <row r="88" spans="1:110" s="22" customFormat="1" x14ac:dyDescent="0.15">
      <c r="A88" s="22">
        <f t="shared" si="0"/>
        <v>0.1215</v>
      </c>
      <c r="B88" s="22">
        <f t="shared" si="1"/>
        <v>4.8150000000000004</v>
      </c>
      <c r="C88" s="22">
        <f t="shared" si="23"/>
        <v>1.1000000000000003</v>
      </c>
      <c r="D88" s="22">
        <f t="shared" si="5"/>
        <v>1.2100000000000006</v>
      </c>
      <c r="E88" s="22">
        <f t="shared" si="6"/>
        <v>5.8261500000000037</v>
      </c>
      <c r="F88" s="22">
        <f t="shared" si="7"/>
        <v>0.21000000000000063</v>
      </c>
      <c r="G88" s="22">
        <f>1</f>
        <v>1</v>
      </c>
      <c r="H88" s="22">
        <f t="shared" si="8"/>
        <v>0.6435247500000002</v>
      </c>
      <c r="I88" s="22" t="str">
        <f t="shared" si="9"/>
        <v>1+0.64352475j</v>
      </c>
      <c r="K88" s="22" t="str">
        <f t="shared" si="10"/>
        <v>0.210000000000001+0.1351401975j</v>
      </c>
      <c r="L88" s="22" t="str">
        <f t="shared" si="11"/>
        <v>6.03615+0.1351401975j</v>
      </c>
      <c r="N88" s="22" t="str">
        <f t="shared" si="12"/>
        <v>0.964726049094448-0.0215987456918762j</v>
      </c>
      <c r="R88" s="22">
        <f t="shared" si="13"/>
        <v>0.9649678003005312</v>
      </c>
      <c r="T88" s="22">
        <f t="shared" si="2"/>
        <v>1.05</v>
      </c>
      <c r="U88" s="22">
        <f t="shared" si="3"/>
        <v>0.97</v>
      </c>
      <c r="W88" s="22">
        <f t="shared" si="24"/>
        <v>1E-3</v>
      </c>
      <c r="X88" s="22">
        <f t="shared" si="4"/>
        <v>4.8150000000000004</v>
      </c>
      <c r="Y88" s="22">
        <f t="shared" si="25"/>
        <v>1.1000000000000003</v>
      </c>
      <c r="Z88" s="22">
        <f t="shared" si="14"/>
        <v>1.2100000000000006</v>
      </c>
      <c r="AA88" s="22">
        <f t="shared" si="15"/>
        <v>5.8261500000000037</v>
      </c>
      <c r="AB88" s="22">
        <f t="shared" si="16"/>
        <v>0.21000000000000063</v>
      </c>
      <c r="AC88" s="22">
        <v>1</v>
      </c>
      <c r="AD88" s="22">
        <f t="shared" si="17"/>
        <v>5.2965000000000017E-3</v>
      </c>
      <c r="AE88" s="22" t="str">
        <f t="shared" si="18"/>
        <v>1+0.0052965j</v>
      </c>
      <c r="AG88" s="22" t="str">
        <f t="shared" si="19"/>
        <v>0.210000000000001+0.001112265j</v>
      </c>
      <c r="AH88" s="22" t="str">
        <f t="shared" si="20"/>
        <v>6.03615+0.001112265j</v>
      </c>
      <c r="AJ88" s="22" t="str">
        <f t="shared" si="21"/>
        <v>0.96520957931403-0.000177856553057118j</v>
      </c>
      <c r="AN88" s="22">
        <f t="shared" si="22"/>
        <v>0.96520959570060216</v>
      </c>
      <c r="AO88" s="22">
        <v>22</v>
      </c>
      <c r="CB88" s="24"/>
      <c r="CC88" s="24"/>
      <c r="CD88" s="24"/>
    </row>
    <row r="89" spans="1:110" s="22" customFormat="1" x14ac:dyDescent="0.15">
      <c r="A89" s="22">
        <f t="shared" si="0"/>
        <v>0.1215</v>
      </c>
      <c r="B89" s="22">
        <f t="shared" si="1"/>
        <v>4.8150000000000004</v>
      </c>
      <c r="C89" s="22">
        <f t="shared" si="23"/>
        <v>1.1500000000000004</v>
      </c>
      <c r="D89" s="22">
        <f t="shared" si="5"/>
        <v>1.3225000000000009</v>
      </c>
      <c r="E89" s="22">
        <f t="shared" si="6"/>
        <v>6.3678375000000047</v>
      </c>
      <c r="F89" s="22">
        <f t="shared" si="7"/>
        <v>0.3225000000000009</v>
      </c>
      <c r="G89" s="22">
        <f>1</f>
        <v>1</v>
      </c>
      <c r="H89" s="22">
        <f t="shared" si="8"/>
        <v>0.67277587500000025</v>
      </c>
      <c r="I89" s="22" t="str">
        <f t="shared" si="9"/>
        <v>1+0.672775875j</v>
      </c>
      <c r="K89" s="22" t="str">
        <f t="shared" si="10"/>
        <v>0.322500000000001+0.216970219687501j</v>
      </c>
      <c r="L89" s="22" t="str">
        <f t="shared" si="11"/>
        <v>6.69033750000001+0.216970219687501j</v>
      </c>
      <c r="N89" s="22" t="str">
        <f t="shared" si="12"/>
        <v>0.950796173056029-0.0308346857757178j</v>
      </c>
      <c r="R89" s="22">
        <f t="shared" si="13"/>
        <v>0.95129603202414215</v>
      </c>
      <c r="T89" s="22">
        <f t="shared" si="2"/>
        <v>1.05</v>
      </c>
      <c r="U89" s="22">
        <f t="shared" si="3"/>
        <v>0.97</v>
      </c>
      <c r="W89" s="22">
        <f t="shared" si="24"/>
        <v>1E-3</v>
      </c>
      <c r="X89" s="22">
        <f t="shared" si="4"/>
        <v>4.8150000000000004</v>
      </c>
      <c r="Y89" s="22">
        <f t="shared" si="25"/>
        <v>1.1500000000000004</v>
      </c>
      <c r="Z89" s="22">
        <f t="shared" si="14"/>
        <v>1.3225000000000009</v>
      </c>
      <c r="AA89" s="22">
        <f t="shared" si="15"/>
        <v>6.3678375000000047</v>
      </c>
      <c r="AB89" s="22">
        <f t="shared" si="16"/>
        <v>0.3225000000000009</v>
      </c>
      <c r="AC89" s="22">
        <v>1</v>
      </c>
      <c r="AD89" s="22">
        <f t="shared" si="17"/>
        <v>5.5372500000000022E-3</v>
      </c>
      <c r="AE89" s="22" t="str">
        <f t="shared" si="18"/>
        <v>1+0.00553725j</v>
      </c>
      <c r="AG89" s="22" t="str">
        <f t="shared" si="19"/>
        <v>0.322500000000001+0.001785763125j</v>
      </c>
      <c r="AH89" s="22" t="str">
        <f t="shared" si="20"/>
        <v>6.69033750000001+0.001785763125j</v>
      </c>
      <c r="AJ89" s="22" t="str">
        <f t="shared" si="21"/>
        <v>0.951796085971195-0.000254050315525441j</v>
      </c>
      <c r="AN89" s="22">
        <f t="shared" si="22"/>
        <v>0.95179611987633639</v>
      </c>
      <c r="AO89" s="22">
        <v>23</v>
      </c>
      <c r="CB89" s="24"/>
      <c r="CC89" s="24"/>
      <c r="CD89" s="24"/>
    </row>
    <row r="90" spans="1:110" s="22" customFormat="1" x14ac:dyDescent="0.15">
      <c r="A90" s="22">
        <f t="shared" si="0"/>
        <v>0.1215</v>
      </c>
      <c r="B90" s="22">
        <f t="shared" si="1"/>
        <v>4.8150000000000004</v>
      </c>
      <c r="C90" s="22">
        <f t="shared" si="23"/>
        <v>1.2000000000000004</v>
      </c>
      <c r="D90" s="22">
        <f t="shared" si="5"/>
        <v>1.4400000000000011</v>
      </c>
      <c r="E90" s="22">
        <f t="shared" si="6"/>
        <v>6.9336000000000055</v>
      </c>
      <c r="F90" s="22">
        <f t="shared" si="7"/>
        <v>0.44000000000000106</v>
      </c>
      <c r="G90" s="22">
        <f>1</f>
        <v>1</v>
      </c>
      <c r="H90" s="22">
        <f t="shared" si="8"/>
        <v>0.70202700000000029</v>
      </c>
      <c r="I90" s="22" t="str">
        <f t="shared" si="9"/>
        <v>1+0.702027j</v>
      </c>
      <c r="K90" s="22" t="str">
        <f t="shared" si="10"/>
        <v>0.440000000000001+0.308891880000001j</v>
      </c>
      <c r="L90" s="22" t="str">
        <f t="shared" si="11"/>
        <v>7.37360000000001+0.308891880000001j</v>
      </c>
      <c r="N90" s="22" t="str">
        <f t="shared" si="12"/>
        <v>0.938680359714749-0.0393228193869162j</v>
      </c>
      <c r="R90" s="22">
        <f t="shared" si="13"/>
        <v>0.93950364652764728</v>
      </c>
      <c r="T90" s="22">
        <f t="shared" si="2"/>
        <v>1.05</v>
      </c>
      <c r="U90" s="22">
        <f t="shared" si="3"/>
        <v>0.97</v>
      </c>
      <c r="W90" s="22">
        <f t="shared" si="24"/>
        <v>1E-3</v>
      </c>
      <c r="X90" s="22">
        <f t="shared" si="4"/>
        <v>4.8150000000000004</v>
      </c>
      <c r="Y90" s="22">
        <f t="shared" si="25"/>
        <v>1.2000000000000004</v>
      </c>
      <c r="Z90" s="22">
        <f t="shared" si="14"/>
        <v>1.4400000000000011</v>
      </c>
      <c r="AA90" s="22">
        <f t="shared" si="15"/>
        <v>6.9336000000000055</v>
      </c>
      <c r="AB90" s="22">
        <f t="shared" si="16"/>
        <v>0.44000000000000106</v>
      </c>
      <c r="AC90" s="22">
        <v>1</v>
      </c>
      <c r="AD90" s="22">
        <f t="shared" si="17"/>
        <v>5.7780000000000028E-3</v>
      </c>
      <c r="AE90" s="22" t="str">
        <f t="shared" si="18"/>
        <v>1+0.005778j</v>
      </c>
      <c r="AG90" s="22" t="str">
        <f t="shared" si="19"/>
        <v>0.440000000000001+0.00254232000000001j</v>
      </c>
      <c r="AH90" s="22" t="str">
        <f t="shared" si="20"/>
        <v>7.37360000000001+0.00254232000000001j</v>
      </c>
      <c r="AJ90" s="22" t="str">
        <f t="shared" si="21"/>
        <v>0.94032754363513-0.00032421253129197j</v>
      </c>
      <c r="AN90" s="22">
        <f t="shared" si="22"/>
        <v>0.94032759952723022</v>
      </c>
      <c r="AO90" s="22">
        <v>24</v>
      </c>
      <c r="CB90" s="24"/>
      <c r="CC90" s="24"/>
      <c r="CD90" s="24"/>
    </row>
    <row r="91" spans="1:110" s="22" customFormat="1" x14ac:dyDescent="0.15">
      <c r="A91" s="22">
        <f t="shared" si="0"/>
        <v>0.1215</v>
      </c>
      <c r="B91" s="22">
        <f t="shared" si="1"/>
        <v>4.8150000000000004</v>
      </c>
      <c r="C91" s="22">
        <f t="shared" si="23"/>
        <v>1.2500000000000004</v>
      </c>
      <c r="D91" s="22">
        <f t="shared" si="5"/>
        <v>1.5625000000000011</v>
      </c>
      <c r="E91" s="22">
        <f t="shared" si="6"/>
        <v>7.5234375000000062</v>
      </c>
      <c r="F91" s="22">
        <f t="shared" si="7"/>
        <v>0.56250000000000111</v>
      </c>
      <c r="G91" s="22">
        <f>1</f>
        <v>1</v>
      </c>
      <c r="H91" s="22">
        <f t="shared" si="8"/>
        <v>0.73127812500000033</v>
      </c>
      <c r="I91" s="22" t="str">
        <f t="shared" si="9"/>
        <v>1+0.731278125j</v>
      </c>
      <c r="K91" s="22" t="str">
        <f t="shared" si="10"/>
        <v>0.562500000000001+0.411343945312501j</v>
      </c>
      <c r="L91" s="22" t="str">
        <f t="shared" si="11"/>
        <v>8.08593750000001+0.411343945312501j</v>
      </c>
      <c r="N91" s="22" t="str">
        <f t="shared" si="12"/>
        <v>0.928033114830514-0.0472104567757335j</v>
      </c>
      <c r="R91" s="22">
        <f t="shared" si="13"/>
        <v>0.92923317281024764</v>
      </c>
      <c r="T91" s="22">
        <f t="shared" si="2"/>
        <v>1.05</v>
      </c>
      <c r="U91" s="22">
        <f t="shared" si="3"/>
        <v>0.97</v>
      </c>
      <c r="W91" s="22">
        <f t="shared" si="24"/>
        <v>1E-3</v>
      </c>
      <c r="X91" s="22">
        <f t="shared" si="4"/>
        <v>4.8150000000000004</v>
      </c>
      <c r="Y91" s="22">
        <f t="shared" si="25"/>
        <v>1.2500000000000004</v>
      </c>
      <c r="Z91" s="22">
        <f t="shared" si="14"/>
        <v>1.5625000000000011</v>
      </c>
      <c r="AA91" s="22">
        <f t="shared" si="15"/>
        <v>7.5234375000000062</v>
      </c>
      <c r="AB91" s="22">
        <f t="shared" si="16"/>
        <v>0.56250000000000111</v>
      </c>
      <c r="AC91" s="22">
        <v>1</v>
      </c>
      <c r="AD91" s="22">
        <f t="shared" si="17"/>
        <v>6.0187500000000024E-3</v>
      </c>
      <c r="AE91" s="22" t="str">
        <f t="shared" si="18"/>
        <v>1+0.00601875j</v>
      </c>
      <c r="AG91" s="22" t="str">
        <f t="shared" si="19"/>
        <v>0.562500000000001+0.00338554687500001j</v>
      </c>
      <c r="AH91" s="22" t="str">
        <f t="shared" si="20"/>
        <v>8.08593750000001+0.00338554687500001j</v>
      </c>
      <c r="AJ91" s="22" t="str">
        <f t="shared" si="21"/>
        <v>0.930434619497878-0.000389568929815851j</v>
      </c>
      <c r="AN91" s="22">
        <f t="shared" si="22"/>
        <v>0.93043470105328308</v>
      </c>
      <c r="AO91" s="22">
        <v>25</v>
      </c>
      <c r="CB91" s="24"/>
      <c r="CC91" s="24"/>
      <c r="CD91" s="24"/>
    </row>
    <row r="92" spans="1:110" s="22" customFormat="1" x14ac:dyDescent="0.15">
      <c r="A92" s="22">
        <f t="shared" si="0"/>
        <v>0.1215</v>
      </c>
      <c r="B92" s="22">
        <f t="shared" si="1"/>
        <v>4.8150000000000004</v>
      </c>
      <c r="C92" s="22">
        <f t="shared" si="23"/>
        <v>1.3000000000000005</v>
      </c>
      <c r="D92" s="22">
        <f t="shared" si="5"/>
        <v>1.6900000000000013</v>
      </c>
      <c r="E92" s="22">
        <f t="shared" si="6"/>
        <v>8.1373500000000067</v>
      </c>
      <c r="F92" s="22">
        <f t="shared" si="7"/>
        <v>0.69000000000000128</v>
      </c>
      <c r="G92" s="22">
        <f>1</f>
        <v>1</v>
      </c>
      <c r="H92" s="22">
        <f t="shared" si="8"/>
        <v>0.76052925000000027</v>
      </c>
      <c r="I92" s="22" t="str">
        <f t="shared" si="9"/>
        <v>1+0.76052925j</v>
      </c>
      <c r="K92" s="22" t="str">
        <f t="shared" si="10"/>
        <v>0.690000000000001+0.524765182500001j</v>
      </c>
      <c r="L92" s="22" t="str">
        <f t="shared" si="11"/>
        <v>8.82735000000001+0.524765182500001j</v>
      </c>
      <c r="N92" s="22" t="str">
        <f t="shared" si="12"/>
        <v>0.918587536759306-0.0546078671820788j</v>
      </c>
      <c r="R92" s="22">
        <f t="shared" si="13"/>
        <v>0.92020925981414947</v>
      </c>
      <c r="T92" s="22">
        <f t="shared" si="2"/>
        <v>1.05</v>
      </c>
      <c r="U92" s="22">
        <f t="shared" si="3"/>
        <v>0.97</v>
      </c>
      <c r="W92" s="22">
        <f t="shared" si="24"/>
        <v>1E-3</v>
      </c>
      <c r="X92" s="22">
        <f t="shared" si="4"/>
        <v>4.8150000000000004</v>
      </c>
      <c r="Y92" s="22">
        <f t="shared" si="25"/>
        <v>1.3000000000000005</v>
      </c>
      <c r="Z92" s="22">
        <f t="shared" si="14"/>
        <v>1.6900000000000013</v>
      </c>
      <c r="AA92" s="22">
        <f t="shared" si="15"/>
        <v>8.1373500000000067</v>
      </c>
      <c r="AB92" s="22">
        <f t="shared" si="16"/>
        <v>0.69000000000000128</v>
      </c>
      <c r="AC92" s="22">
        <v>1</v>
      </c>
      <c r="AD92" s="22">
        <f t="shared" si="17"/>
        <v>6.2595000000000029E-3</v>
      </c>
      <c r="AE92" s="22" t="str">
        <f t="shared" si="18"/>
        <v>1+0.0062595j</v>
      </c>
      <c r="AG92" s="22" t="str">
        <f t="shared" si="19"/>
        <v>0.690000000000001+0.00431905500000001j</v>
      </c>
      <c r="AH92" s="22" t="str">
        <f t="shared" si="20"/>
        <v>8.82735000000001+0.00431905500000001j</v>
      </c>
      <c r="AJ92" s="22" t="str">
        <f t="shared" si="21"/>
        <v>0.921833625261481-0.000451035716081693j</v>
      </c>
      <c r="AN92" s="22">
        <f t="shared" si="22"/>
        <v>0.9218337356030869</v>
      </c>
      <c r="AO92" s="22">
        <v>26</v>
      </c>
      <c r="CB92" s="24"/>
      <c r="CC92" s="24"/>
      <c r="CD92" s="24"/>
    </row>
    <row r="93" spans="1:110" s="22" customFormat="1" x14ac:dyDescent="0.15">
      <c r="A93" s="22">
        <f t="shared" si="0"/>
        <v>0.1215</v>
      </c>
      <c r="B93" s="22">
        <f t="shared" si="1"/>
        <v>4.8150000000000004</v>
      </c>
      <c r="C93" s="22">
        <f t="shared" si="23"/>
        <v>1.3500000000000005</v>
      </c>
      <c r="D93" s="22">
        <f t="shared" si="5"/>
        <v>1.8225000000000013</v>
      </c>
      <c r="E93" s="22">
        <f t="shared" si="6"/>
        <v>8.775337500000008</v>
      </c>
      <c r="F93" s="22">
        <f t="shared" si="7"/>
        <v>0.82250000000000134</v>
      </c>
      <c r="G93" s="22">
        <f>1</f>
        <v>1</v>
      </c>
      <c r="H93" s="22">
        <f t="shared" si="8"/>
        <v>0.78978037500000031</v>
      </c>
      <c r="I93" s="22" t="str">
        <f t="shared" si="9"/>
        <v>1+0.789780375j</v>
      </c>
      <c r="K93" s="22" t="str">
        <f t="shared" si="10"/>
        <v>0.822500000000001+0.649594358437501j</v>
      </c>
      <c r="L93" s="22" t="str">
        <f t="shared" si="11"/>
        <v>9.59783750000001+0.649594358437501j</v>
      </c>
      <c r="N93" s="22" t="str">
        <f t="shared" si="12"/>
        <v>0.910134503347987-0.0615991090486965j</v>
      </c>
      <c r="R93" s="22">
        <f t="shared" si="13"/>
        <v>0.91221667624533154</v>
      </c>
      <c r="T93" s="22">
        <f t="shared" si="2"/>
        <v>1.05</v>
      </c>
      <c r="U93" s="22">
        <f t="shared" si="3"/>
        <v>0.97</v>
      </c>
      <c r="W93" s="22">
        <f t="shared" si="24"/>
        <v>1E-3</v>
      </c>
      <c r="X93" s="22">
        <f t="shared" si="4"/>
        <v>4.8150000000000004</v>
      </c>
      <c r="Y93" s="22">
        <f t="shared" si="25"/>
        <v>1.3500000000000005</v>
      </c>
      <c r="Z93" s="22">
        <f t="shared" si="14"/>
        <v>1.8225000000000013</v>
      </c>
      <c r="AA93" s="22">
        <f t="shared" si="15"/>
        <v>8.775337500000008</v>
      </c>
      <c r="AB93" s="22">
        <f t="shared" si="16"/>
        <v>0.82250000000000134</v>
      </c>
      <c r="AC93" s="22">
        <v>1</v>
      </c>
      <c r="AD93" s="22">
        <f t="shared" si="17"/>
        <v>6.5002500000000034E-3</v>
      </c>
      <c r="AE93" s="22" t="str">
        <f t="shared" si="18"/>
        <v>1+0.00650025j</v>
      </c>
      <c r="AG93" s="22" t="str">
        <f t="shared" si="19"/>
        <v>0.822500000000001+0.00534645562500001j</v>
      </c>
      <c r="AH93" s="22" t="str">
        <f t="shared" si="20"/>
        <v>9.59783750000001+0.00534645562500001j</v>
      </c>
      <c r="AJ93" s="22" t="str">
        <f t="shared" si="21"/>
        <v>0.914303328952222-0.00050931078756364j</v>
      </c>
      <c r="AN93" s="22">
        <f t="shared" si="22"/>
        <v>0.91430347080747409</v>
      </c>
      <c r="AO93" s="22">
        <v>27</v>
      </c>
      <c r="CB93" s="24"/>
      <c r="CC93" s="24"/>
      <c r="CD93" s="24"/>
    </row>
    <row r="94" spans="1:110" s="22" customFormat="1" x14ac:dyDescent="0.15">
      <c r="A94" s="22">
        <f t="shared" si="0"/>
        <v>0.1215</v>
      </c>
      <c r="B94" s="22">
        <f t="shared" si="1"/>
        <v>4.8150000000000004</v>
      </c>
      <c r="C94" s="22">
        <f t="shared" si="23"/>
        <v>1.4000000000000006</v>
      </c>
      <c r="D94" s="22">
        <f t="shared" si="5"/>
        <v>1.9600000000000015</v>
      </c>
      <c r="E94" s="22">
        <f t="shared" si="6"/>
        <v>9.4374000000000073</v>
      </c>
      <c r="F94" s="22">
        <f t="shared" si="7"/>
        <v>0.96000000000000152</v>
      </c>
      <c r="G94" s="22">
        <f>1</f>
        <v>1</v>
      </c>
      <c r="H94" s="22">
        <f t="shared" si="8"/>
        <v>0.81903150000000036</v>
      </c>
      <c r="I94" s="22" t="str">
        <f t="shared" si="9"/>
        <v>1+0.8190315j</v>
      </c>
      <c r="K94" s="22" t="str">
        <f t="shared" si="10"/>
        <v>0.960000000000002+0.786270240000001j</v>
      </c>
      <c r="L94" s="22" t="str">
        <f t="shared" si="11"/>
        <v>10.3974+0.786270240000001j</v>
      </c>
      <c r="N94" s="22" t="str">
        <f t="shared" si="12"/>
        <v>0.902508089330794-0.0682492980937605j</v>
      </c>
      <c r="R94" s="22">
        <f t="shared" si="13"/>
        <v>0.90508497832955515</v>
      </c>
      <c r="T94" s="22">
        <f t="shared" si="2"/>
        <v>1.05</v>
      </c>
      <c r="U94" s="22">
        <f t="shared" si="3"/>
        <v>0.97</v>
      </c>
      <c r="W94" s="22">
        <f t="shared" si="24"/>
        <v>1E-3</v>
      </c>
      <c r="X94" s="22">
        <f t="shared" si="4"/>
        <v>4.8150000000000004</v>
      </c>
      <c r="Y94" s="22">
        <f t="shared" si="25"/>
        <v>1.4000000000000006</v>
      </c>
      <c r="Z94" s="22">
        <f t="shared" si="14"/>
        <v>1.9600000000000015</v>
      </c>
      <c r="AA94" s="22">
        <f t="shared" si="15"/>
        <v>9.4374000000000073</v>
      </c>
      <c r="AB94" s="22">
        <f t="shared" si="16"/>
        <v>0.96000000000000152</v>
      </c>
      <c r="AC94" s="22">
        <v>1</v>
      </c>
      <c r="AD94" s="22">
        <f t="shared" si="17"/>
        <v>6.7410000000000031E-3</v>
      </c>
      <c r="AE94" s="22" t="str">
        <f t="shared" si="18"/>
        <v>1+0.006741j</v>
      </c>
      <c r="AG94" s="22" t="str">
        <f t="shared" si="19"/>
        <v>0.960000000000002+0.00647136000000001j</v>
      </c>
      <c r="AH94" s="22" t="str">
        <f t="shared" si="20"/>
        <v>10.3974+0.00647136000000001j</v>
      </c>
      <c r="AJ94" s="22" t="str">
        <f t="shared" si="21"/>
        <v>0.90766887338221-0.000564934699102729j</v>
      </c>
      <c r="AN94" s="22">
        <f t="shared" si="22"/>
        <v>0.90766904919036695</v>
      </c>
      <c r="AO94" s="22">
        <v>28</v>
      </c>
      <c r="CB94" s="24"/>
      <c r="CC94" s="24"/>
      <c r="CD94" s="24"/>
    </row>
    <row r="95" spans="1:110" s="22" customFormat="1" x14ac:dyDescent="0.15">
      <c r="A95" s="22">
        <f t="shared" si="0"/>
        <v>0.1215</v>
      </c>
      <c r="B95" s="22">
        <f t="shared" si="1"/>
        <v>4.8150000000000004</v>
      </c>
      <c r="C95" s="22">
        <f t="shared" si="23"/>
        <v>1.4500000000000006</v>
      </c>
      <c r="D95" s="22">
        <f t="shared" si="5"/>
        <v>2.1025000000000018</v>
      </c>
      <c r="E95" s="22">
        <f t="shared" si="6"/>
        <v>10.12353750000001</v>
      </c>
      <c r="F95" s="22">
        <f t="shared" si="7"/>
        <v>1.1025000000000018</v>
      </c>
      <c r="G95" s="22">
        <f>1</f>
        <v>1</v>
      </c>
      <c r="H95" s="22">
        <f t="shared" si="8"/>
        <v>0.8482826250000004</v>
      </c>
      <c r="I95" s="22" t="str">
        <f t="shared" si="9"/>
        <v>1+0.848282625j</v>
      </c>
      <c r="K95" s="22" t="str">
        <f t="shared" si="10"/>
        <v>1.1025+0.935231594062501j</v>
      </c>
      <c r="L95" s="22" t="str">
        <f t="shared" si="11"/>
        <v>11.2260375+0.935231594062501j</v>
      </c>
      <c r="N95" s="22" t="str">
        <f t="shared" si="12"/>
        <v>0.895575152322368-0.0746096008773546j</v>
      </c>
      <c r="R95" s="22">
        <f t="shared" si="13"/>
        <v>0.89867760960219245</v>
      </c>
      <c r="T95" s="22">
        <f t="shared" si="2"/>
        <v>1.05</v>
      </c>
      <c r="U95" s="22">
        <f t="shared" si="3"/>
        <v>0.97</v>
      </c>
      <c r="W95" s="22">
        <f t="shared" si="24"/>
        <v>1E-3</v>
      </c>
      <c r="X95" s="22">
        <f t="shared" si="4"/>
        <v>4.8150000000000004</v>
      </c>
      <c r="Y95" s="22">
        <f t="shared" si="25"/>
        <v>1.4500000000000006</v>
      </c>
      <c r="Z95" s="22">
        <f t="shared" si="14"/>
        <v>2.1025000000000018</v>
      </c>
      <c r="AA95" s="22">
        <f t="shared" si="15"/>
        <v>10.12353750000001</v>
      </c>
      <c r="AB95" s="22">
        <f t="shared" si="16"/>
        <v>1.1025000000000018</v>
      </c>
      <c r="AC95" s="22">
        <v>1</v>
      </c>
      <c r="AD95" s="22">
        <f t="shared" si="17"/>
        <v>6.9817500000000036E-3</v>
      </c>
      <c r="AE95" s="22" t="str">
        <f t="shared" si="18"/>
        <v>1+0.00698175j</v>
      </c>
      <c r="AG95" s="22" t="str">
        <f t="shared" si="19"/>
        <v>1.1025+0.00769737937500001j</v>
      </c>
      <c r="AH95" s="22" t="str">
        <f t="shared" si="20"/>
        <v>11.2260375+0.00769737937500001j</v>
      </c>
      <c r="AJ95" s="22" t="str">
        <f t="shared" si="21"/>
        <v>0.901790390461542-0.000618332403763294j</v>
      </c>
      <c r="AN95" s="22">
        <f t="shared" si="22"/>
        <v>0.90179060244811937</v>
      </c>
      <c r="AO95" s="22">
        <v>29</v>
      </c>
      <c r="CB95" s="24"/>
      <c r="CC95" s="24"/>
      <c r="CD95" s="24"/>
    </row>
    <row r="96" spans="1:110" s="22" customFormat="1" x14ac:dyDescent="0.15">
      <c r="A96" s="22">
        <f t="shared" si="0"/>
        <v>0.1215</v>
      </c>
      <c r="B96" s="22">
        <f t="shared" si="1"/>
        <v>4.8150000000000004</v>
      </c>
      <c r="C96" s="22">
        <f t="shared" si="23"/>
        <v>1.5000000000000007</v>
      </c>
      <c r="D96" s="22">
        <f t="shared" si="5"/>
        <v>2.2500000000000018</v>
      </c>
      <c r="E96" s="22">
        <f t="shared" si="6"/>
        <v>10.833750000000009</v>
      </c>
      <c r="F96" s="22">
        <f t="shared" si="7"/>
        <v>1.2500000000000018</v>
      </c>
      <c r="G96" s="22">
        <f>1</f>
        <v>1</v>
      </c>
      <c r="H96" s="22">
        <f t="shared" si="8"/>
        <v>0.87753375000000045</v>
      </c>
      <c r="I96" s="22" t="str">
        <f t="shared" si="9"/>
        <v>1+0.87753375j</v>
      </c>
      <c r="K96" s="22" t="str">
        <f t="shared" si="10"/>
        <v>1.25+1.0969171875j</v>
      </c>
      <c r="L96" s="22" t="str">
        <f t="shared" si="11"/>
        <v>12.08375+1.0969171875j</v>
      </c>
      <c r="N96" s="22" t="str">
        <f t="shared" si="12"/>
        <v>0.889227767435324-0.0807207383222972j</v>
      </c>
      <c r="R96" s="22">
        <f t="shared" si="13"/>
        <v>0.89288401260931283</v>
      </c>
      <c r="T96" s="22">
        <f t="shared" si="2"/>
        <v>1.05</v>
      </c>
      <c r="U96" s="22">
        <f t="shared" si="3"/>
        <v>0.97</v>
      </c>
      <c r="W96" s="22">
        <f t="shared" si="24"/>
        <v>1E-3</v>
      </c>
      <c r="X96" s="22">
        <f t="shared" si="4"/>
        <v>4.8150000000000004</v>
      </c>
      <c r="Y96" s="22">
        <f t="shared" si="25"/>
        <v>1.5000000000000007</v>
      </c>
      <c r="Z96" s="22">
        <f t="shared" si="14"/>
        <v>2.2500000000000018</v>
      </c>
      <c r="AA96" s="22">
        <f t="shared" si="15"/>
        <v>10.833750000000009</v>
      </c>
      <c r="AB96" s="22">
        <f t="shared" si="16"/>
        <v>1.2500000000000018</v>
      </c>
      <c r="AC96" s="22">
        <v>1</v>
      </c>
      <c r="AD96" s="22">
        <f t="shared" si="17"/>
        <v>7.2225000000000041E-3</v>
      </c>
      <c r="AE96" s="22" t="str">
        <f t="shared" si="18"/>
        <v>1+0.0072225j</v>
      </c>
      <c r="AG96" s="22" t="str">
        <f t="shared" si="19"/>
        <v>1.25+0.00902812500000001j</v>
      </c>
      <c r="AH96" s="22" t="str">
        <f t="shared" si="20"/>
        <v>12.08375+0.00902812500000001j</v>
      </c>
      <c r="AJ96" s="22" t="str">
        <f t="shared" si="21"/>
        <v>0.896554790737861-0.0006698424512366j</v>
      </c>
      <c r="AN96" s="22">
        <f t="shared" si="22"/>
        <v>0.89655504096732364</v>
      </c>
      <c r="AO96" s="22">
        <v>30</v>
      </c>
      <c r="CB96" s="24"/>
      <c r="CC96" s="24"/>
      <c r="CD96" s="24"/>
    </row>
    <row r="97" spans="1:82" s="22" customFormat="1" x14ac:dyDescent="0.15">
      <c r="A97" s="22">
        <f t="shared" si="0"/>
        <v>0.1215</v>
      </c>
      <c r="B97" s="22">
        <f t="shared" si="1"/>
        <v>4.8150000000000004</v>
      </c>
      <c r="C97" s="22">
        <f t="shared" si="23"/>
        <v>1.5500000000000007</v>
      </c>
      <c r="D97" s="22">
        <f t="shared" si="5"/>
        <v>2.4025000000000021</v>
      </c>
      <c r="E97" s="22">
        <f t="shared" si="6"/>
        <v>11.568037500000012</v>
      </c>
      <c r="F97" s="22">
        <f t="shared" si="7"/>
        <v>1.4025000000000021</v>
      </c>
      <c r="G97" s="22">
        <f>1</f>
        <v>1</v>
      </c>
      <c r="H97" s="22">
        <f t="shared" si="8"/>
        <v>0.90678487500000049</v>
      </c>
      <c r="I97" s="22" t="str">
        <f t="shared" si="9"/>
        <v>1+0.906784875j</v>
      </c>
      <c r="K97" s="22" t="str">
        <f t="shared" si="10"/>
        <v>1.4025+1.2717657871875j</v>
      </c>
      <c r="L97" s="22" t="str">
        <f t="shared" si="11"/>
        <v>12.9705375+1.2717657871875j</v>
      </c>
      <c r="N97" s="22" t="str">
        <f t="shared" si="12"/>
        <v>0.8833776458826-0.0866154904682806j</v>
      </c>
      <c r="R97" s="22">
        <f t="shared" si="13"/>
        <v>0.88761382843787706</v>
      </c>
      <c r="T97" s="22">
        <f t="shared" si="2"/>
        <v>1.05</v>
      </c>
      <c r="U97" s="22">
        <f t="shared" si="3"/>
        <v>0.97</v>
      </c>
      <c r="W97" s="22">
        <f t="shared" si="24"/>
        <v>1E-3</v>
      </c>
      <c r="X97" s="22">
        <f t="shared" si="4"/>
        <v>4.8150000000000004</v>
      </c>
      <c r="Y97" s="22">
        <f t="shared" si="25"/>
        <v>1.5500000000000007</v>
      </c>
      <c r="Z97" s="22">
        <f t="shared" si="14"/>
        <v>2.4025000000000021</v>
      </c>
      <c r="AA97" s="22">
        <f t="shared" si="15"/>
        <v>11.568037500000012</v>
      </c>
      <c r="AB97" s="22">
        <f t="shared" si="16"/>
        <v>1.4025000000000021</v>
      </c>
      <c r="AC97" s="22">
        <v>1</v>
      </c>
      <c r="AD97" s="22">
        <f t="shared" si="17"/>
        <v>7.4632500000000037E-3</v>
      </c>
      <c r="AE97" s="22" t="str">
        <f t="shared" si="18"/>
        <v>1+0.00746325j</v>
      </c>
      <c r="AG97" s="22" t="str">
        <f t="shared" si="19"/>
        <v>1.4025+0.010467208125j</v>
      </c>
      <c r="AH97" s="22" t="str">
        <f t="shared" si="20"/>
        <v>12.9705375+0.010467208125j</v>
      </c>
      <c r="AJ97" s="22" t="str">
        <f t="shared" si="21"/>
        <v>0.891869744515566-0.000719737808570771j</v>
      </c>
      <c r="AN97" s="22">
        <f t="shared" si="22"/>
        <v>0.89187003492929051</v>
      </c>
      <c r="AO97" s="22">
        <v>31</v>
      </c>
      <c r="CB97" s="24"/>
      <c r="CC97" s="24"/>
      <c r="CD97" s="24"/>
    </row>
    <row r="98" spans="1:82" s="22" customFormat="1" x14ac:dyDescent="0.15">
      <c r="A98" s="22">
        <f t="shared" si="0"/>
        <v>0.1215</v>
      </c>
      <c r="B98" s="22">
        <f t="shared" si="1"/>
        <v>4.8150000000000004</v>
      </c>
      <c r="C98" s="22">
        <f t="shared" si="23"/>
        <v>1.6000000000000008</v>
      </c>
      <c r="D98" s="22">
        <f t="shared" si="5"/>
        <v>2.5600000000000023</v>
      </c>
      <c r="E98" s="22">
        <f t="shared" si="6"/>
        <v>12.326400000000012</v>
      </c>
      <c r="F98" s="22">
        <f t="shared" si="7"/>
        <v>1.5600000000000023</v>
      </c>
      <c r="G98" s="22">
        <f>1</f>
        <v>1</v>
      </c>
      <c r="H98" s="22">
        <f t="shared" si="8"/>
        <v>0.93603600000000053</v>
      </c>
      <c r="I98" s="22" t="str">
        <f t="shared" si="9"/>
        <v>1+0.936036000000001j</v>
      </c>
      <c r="K98" s="22" t="str">
        <f t="shared" si="10"/>
        <v>1.56+1.46021616j</v>
      </c>
      <c r="L98" s="22" t="str">
        <f t="shared" si="11"/>
        <v>13.8864+1.46021616j</v>
      </c>
      <c r="N98" s="22" t="str">
        <f t="shared" si="12"/>
        <v>0.877951959325234-0.0923205178239406j</v>
      </c>
      <c r="R98" s="22">
        <f t="shared" si="13"/>
        <v>0.88279256957356511</v>
      </c>
      <c r="T98" s="22">
        <f t="shared" si="2"/>
        <v>1.05</v>
      </c>
      <c r="U98" s="22">
        <f t="shared" si="3"/>
        <v>0.97</v>
      </c>
      <c r="W98" s="22">
        <f t="shared" si="24"/>
        <v>1E-3</v>
      </c>
      <c r="X98" s="22">
        <f t="shared" si="4"/>
        <v>4.8150000000000004</v>
      </c>
      <c r="Y98" s="22">
        <f t="shared" si="25"/>
        <v>1.6000000000000008</v>
      </c>
      <c r="Z98" s="22">
        <f t="shared" si="14"/>
        <v>2.5600000000000023</v>
      </c>
      <c r="AA98" s="22">
        <f t="shared" si="15"/>
        <v>12.326400000000012</v>
      </c>
      <c r="AB98" s="22">
        <f t="shared" si="16"/>
        <v>1.5600000000000023</v>
      </c>
      <c r="AC98" s="22">
        <v>1</v>
      </c>
      <c r="AD98" s="22">
        <f t="shared" si="17"/>
        <v>7.7040000000000042E-3</v>
      </c>
      <c r="AE98" s="22" t="str">
        <f t="shared" si="18"/>
        <v>1+0.007704j</v>
      </c>
      <c r="AG98" s="22" t="str">
        <f t="shared" si="19"/>
        <v>1.56+0.01201824j</v>
      </c>
      <c r="AH98" s="22" t="str">
        <f t="shared" si="20"/>
        <v>13.8864+0.01201824j</v>
      </c>
      <c r="AJ98" s="22" t="str">
        <f t="shared" si="21"/>
        <v>0.887659203760205-0.000768240965909022j</v>
      </c>
      <c r="AN98" s="22">
        <f t="shared" si="22"/>
        <v>0.88765953620427185</v>
      </c>
      <c r="AO98" s="22">
        <v>32</v>
      </c>
      <c r="CB98" s="24"/>
      <c r="CC98" s="24"/>
      <c r="CD98" s="24"/>
    </row>
    <row r="99" spans="1:82" s="22" customFormat="1" x14ac:dyDescent="0.15">
      <c r="A99" s="22">
        <f t="shared" si="0"/>
        <v>0.1215</v>
      </c>
      <c r="B99" s="22">
        <f t="shared" si="1"/>
        <v>4.8150000000000004</v>
      </c>
      <c r="C99" s="22">
        <f t="shared" si="23"/>
        <v>1.6500000000000008</v>
      </c>
      <c r="D99" s="22">
        <f t="shared" si="5"/>
        <v>2.7225000000000028</v>
      </c>
      <c r="E99" s="22">
        <f t="shared" si="6"/>
        <v>13.108837500000014</v>
      </c>
      <c r="F99" s="22">
        <f t="shared" si="7"/>
        <v>1.7225000000000028</v>
      </c>
      <c r="G99" s="22">
        <f>1</f>
        <v>1</v>
      </c>
      <c r="H99" s="22">
        <f t="shared" si="8"/>
        <v>0.96528712500000047</v>
      </c>
      <c r="I99" s="22" t="str">
        <f t="shared" si="9"/>
        <v>1+0.965287125j</v>
      </c>
      <c r="K99" s="22" t="str">
        <f t="shared" si="10"/>
        <v>1.7225+1.6627070728125j</v>
      </c>
      <c r="L99" s="22" t="str">
        <f t="shared" si="11"/>
        <v>14.8313375+1.6627070728125j</v>
      </c>
      <c r="N99" s="22" t="str">
        <f t="shared" si="12"/>
        <v>0.872890175925445-0.0978577063127169j</v>
      </c>
      <c r="R99" s="22">
        <f t="shared" si="13"/>
        <v>0.8783583493722481</v>
      </c>
      <c r="T99" s="22">
        <f t="shared" si="2"/>
        <v>1.05</v>
      </c>
      <c r="U99" s="22">
        <f t="shared" si="3"/>
        <v>0.97</v>
      </c>
      <c r="W99" s="22">
        <f t="shared" si="24"/>
        <v>1E-3</v>
      </c>
      <c r="X99" s="22">
        <f t="shared" si="4"/>
        <v>4.8150000000000004</v>
      </c>
      <c r="Y99" s="22">
        <f t="shared" si="25"/>
        <v>1.6500000000000008</v>
      </c>
      <c r="Z99" s="22">
        <f t="shared" si="14"/>
        <v>2.7225000000000028</v>
      </c>
      <c r="AA99" s="22">
        <f t="shared" si="15"/>
        <v>13.108837500000014</v>
      </c>
      <c r="AB99" s="22">
        <f t="shared" si="16"/>
        <v>1.7225000000000028</v>
      </c>
      <c r="AC99" s="22">
        <v>1</v>
      </c>
      <c r="AD99" s="22">
        <f t="shared" si="17"/>
        <v>7.9447500000000039E-3</v>
      </c>
      <c r="AE99" s="22" t="str">
        <f t="shared" si="18"/>
        <v>1+0.00794475j</v>
      </c>
      <c r="AG99" s="22" t="str">
        <f t="shared" si="19"/>
        <v>1.7225+0.013684831875j</v>
      </c>
      <c r="AH99" s="22" t="str">
        <f t="shared" si="20"/>
        <v>14.8313375+0.013684831875j</v>
      </c>
      <c r="AJ99" s="22" t="str">
        <f t="shared" si="21"/>
        <v>0.883860025404972-0.0008155350688163j</v>
      </c>
      <c r="AN99" s="22">
        <f t="shared" si="22"/>
        <v>0.88386040165080715</v>
      </c>
      <c r="AO99" s="22">
        <v>33</v>
      </c>
      <c r="CB99" s="24"/>
      <c r="CC99" s="24"/>
      <c r="CD99" s="24"/>
    </row>
    <row r="100" spans="1:82" s="22" customFormat="1" x14ac:dyDescent="0.15">
      <c r="A100" s="22">
        <f t="shared" si="0"/>
        <v>0.1215</v>
      </c>
      <c r="B100" s="22">
        <f t="shared" si="1"/>
        <v>4.8150000000000004</v>
      </c>
      <c r="C100" s="22">
        <f t="shared" si="23"/>
        <v>1.7000000000000008</v>
      </c>
      <c r="D100" s="22">
        <f t="shared" si="5"/>
        <v>2.8900000000000028</v>
      </c>
      <c r="E100" s="22">
        <f t="shared" si="6"/>
        <v>13.915350000000014</v>
      </c>
      <c r="F100" s="22">
        <f t="shared" si="7"/>
        <v>1.8900000000000028</v>
      </c>
      <c r="G100" s="22">
        <f>1</f>
        <v>1</v>
      </c>
      <c r="H100" s="22">
        <f t="shared" si="8"/>
        <v>0.99453825000000051</v>
      </c>
      <c r="I100" s="22" t="str">
        <f t="shared" si="9"/>
        <v>1+0.994538250000001j</v>
      </c>
      <c r="K100" s="22" t="str">
        <f t="shared" si="10"/>
        <v>1.89+1.8796772925j</v>
      </c>
      <c r="L100" s="22" t="str">
        <f t="shared" si="11"/>
        <v>15.80535+1.8796772925j</v>
      </c>
      <c r="N100" s="22" t="str">
        <f t="shared" si="12"/>
        <v>0.868141634955086-0.103245174444027j</v>
      </c>
      <c r="R100" s="22">
        <f t="shared" si="13"/>
        <v>0.87425938049784024</v>
      </c>
      <c r="T100" s="22">
        <f t="shared" si="2"/>
        <v>1.05</v>
      </c>
      <c r="U100" s="22">
        <f t="shared" si="3"/>
        <v>0.97</v>
      </c>
      <c r="W100" s="22">
        <f t="shared" si="24"/>
        <v>1E-3</v>
      </c>
      <c r="X100" s="22">
        <f t="shared" si="4"/>
        <v>4.8150000000000004</v>
      </c>
      <c r="Y100" s="22">
        <f t="shared" si="25"/>
        <v>1.7000000000000008</v>
      </c>
      <c r="Z100" s="22">
        <f t="shared" si="14"/>
        <v>2.8900000000000028</v>
      </c>
      <c r="AA100" s="22">
        <f t="shared" si="15"/>
        <v>13.915350000000014</v>
      </c>
      <c r="AB100" s="22">
        <f t="shared" si="16"/>
        <v>1.8900000000000028</v>
      </c>
      <c r="AC100" s="22">
        <v>1</v>
      </c>
      <c r="AD100" s="22">
        <f t="shared" si="17"/>
        <v>8.1855000000000053E-3</v>
      </c>
      <c r="AE100" s="22" t="str">
        <f t="shared" si="18"/>
        <v>1+0.00818550000000001j</v>
      </c>
      <c r="AG100" s="22" t="str">
        <f t="shared" si="19"/>
        <v>1.89+0.015470595j</v>
      </c>
      <c r="AH100" s="22" t="str">
        <f t="shared" si="20"/>
        <v>15.80535+0.015470595j</v>
      </c>
      <c r="AJ100" s="22" t="str">
        <f t="shared" si="21"/>
        <v>0.880419393931214-0.000861772240010836j</v>
      </c>
      <c r="AN100" s="22">
        <f t="shared" si="22"/>
        <v>0.88041981569112804</v>
      </c>
      <c r="AO100" s="22">
        <v>34</v>
      </c>
      <c r="CB100" s="24"/>
      <c r="CC100" s="24"/>
      <c r="CD100" s="24"/>
    </row>
    <row r="101" spans="1:82" s="22" customFormat="1" x14ac:dyDescent="0.15">
      <c r="A101" s="22">
        <f t="shared" si="0"/>
        <v>0.1215</v>
      </c>
      <c r="B101" s="22">
        <f t="shared" si="1"/>
        <v>4.8150000000000004</v>
      </c>
      <c r="C101" s="22">
        <f t="shared" si="23"/>
        <v>1.7500000000000009</v>
      </c>
      <c r="D101" s="22">
        <f t="shared" si="5"/>
        <v>3.0625000000000031</v>
      </c>
      <c r="E101" s="22">
        <f t="shared" si="6"/>
        <v>14.745937500000016</v>
      </c>
      <c r="F101" s="22">
        <f t="shared" si="7"/>
        <v>2.0625000000000031</v>
      </c>
      <c r="G101" s="22">
        <f>1</f>
        <v>1</v>
      </c>
      <c r="H101" s="22">
        <f t="shared" si="8"/>
        <v>1.0237893750000007</v>
      </c>
      <c r="I101" s="22" t="str">
        <f t="shared" si="9"/>
        <v>1+1.023789375j</v>
      </c>
      <c r="K101" s="22" t="str">
        <f t="shared" si="10"/>
        <v>2.0625+2.1115655859375j</v>
      </c>
      <c r="L101" s="22" t="str">
        <f t="shared" si="11"/>
        <v>16.8084375+2.1115655859375j</v>
      </c>
      <c r="N101" s="22" t="str">
        <f t="shared" si="12"/>
        <v>0.863663667628297-0.108498037273749j</v>
      </c>
      <c r="R101" s="22">
        <f t="shared" si="13"/>
        <v>0.87045204053607528</v>
      </c>
      <c r="T101" s="22">
        <f t="shared" si="2"/>
        <v>1.05</v>
      </c>
      <c r="U101" s="22">
        <f t="shared" si="3"/>
        <v>0.97</v>
      </c>
      <c r="W101" s="22">
        <f t="shared" si="24"/>
        <v>1E-3</v>
      </c>
      <c r="X101" s="22">
        <f t="shared" si="4"/>
        <v>4.8150000000000004</v>
      </c>
      <c r="Y101" s="22">
        <f t="shared" si="25"/>
        <v>1.7500000000000009</v>
      </c>
      <c r="Z101" s="22">
        <f t="shared" si="14"/>
        <v>3.0625000000000031</v>
      </c>
      <c r="AA101" s="22">
        <f t="shared" si="15"/>
        <v>14.745937500000016</v>
      </c>
      <c r="AB101" s="22">
        <f t="shared" si="16"/>
        <v>2.0625000000000031</v>
      </c>
      <c r="AC101" s="22">
        <v>1</v>
      </c>
      <c r="AD101" s="22">
        <f t="shared" si="17"/>
        <v>8.4262500000000049E-3</v>
      </c>
      <c r="AE101" s="22" t="str">
        <f t="shared" si="18"/>
        <v>1+0.00842625j</v>
      </c>
      <c r="AG101" s="22" t="str">
        <f t="shared" si="19"/>
        <v>2.0625+0.017379140625j</v>
      </c>
      <c r="AH101" s="22" t="str">
        <f t="shared" si="20"/>
        <v>16.8084375+0.017379140625j</v>
      </c>
      <c r="AJ101" s="22" t="str">
        <f t="shared" si="21"/>
        <v>0.877292831991742-0.00090707988154693j</v>
      </c>
      <c r="AN101" s="22">
        <f t="shared" si="22"/>
        <v>0.87729330093076763</v>
      </c>
      <c r="AO101" s="22">
        <v>35</v>
      </c>
      <c r="CB101" s="24"/>
      <c r="CC101" s="24"/>
      <c r="CD101" s="24"/>
    </row>
    <row r="102" spans="1:82" s="22" customFormat="1" x14ac:dyDescent="0.15">
      <c r="A102" s="22">
        <f t="shared" si="0"/>
        <v>0.1215</v>
      </c>
      <c r="B102" s="22">
        <f t="shared" si="1"/>
        <v>4.8150000000000004</v>
      </c>
      <c r="C102" s="22">
        <f t="shared" si="23"/>
        <v>1.8000000000000009</v>
      </c>
      <c r="D102" s="22">
        <f t="shared" si="5"/>
        <v>3.2400000000000033</v>
      </c>
      <c r="E102" s="22">
        <f t="shared" si="6"/>
        <v>15.600600000000018</v>
      </c>
      <c r="F102" s="22">
        <f t="shared" si="7"/>
        <v>2.2400000000000033</v>
      </c>
      <c r="G102" s="22">
        <f>1</f>
        <v>1</v>
      </c>
      <c r="H102" s="22">
        <f t="shared" si="8"/>
        <v>1.0530405000000005</v>
      </c>
      <c r="I102" s="22" t="str">
        <f t="shared" si="9"/>
        <v>1+1.0530405j</v>
      </c>
      <c r="K102" s="22" t="str">
        <f t="shared" si="10"/>
        <v>2.24+2.35881072j</v>
      </c>
      <c r="L102" s="22" t="str">
        <f t="shared" si="11"/>
        <v>17.8406+2.35881072j</v>
      </c>
      <c r="N102" s="22" t="str">
        <f t="shared" si="12"/>
        <v>0.859420126778365-0.113628992748482j</v>
      </c>
      <c r="R102" s="22">
        <f t="shared" si="13"/>
        <v>0.86689936111683441</v>
      </c>
      <c r="T102" s="22">
        <f t="shared" si="2"/>
        <v>1.05</v>
      </c>
      <c r="U102" s="22">
        <f t="shared" si="3"/>
        <v>0.97</v>
      </c>
      <c r="W102" s="22">
        <f t="shared" si="24"/>
        <v>1E-3</v>
      </c>
      <c r="X102" s="22">
        <f t="shared" si="4"/>
        <v>4.8150000000000004</v>
      </c>
      <c r="Y102" s="22">
        <f t="shared" si="25"/>
        <v>1.8000000000000009</v>
      </c>
      <c r="Z102" s="22">
        <f t="shared" si="14"/>
        <v>3.2400000000000033</v>
      </c>
      <c r="AA102" s="22">
        <f t="shared" si="15"/>
        <v>15.600600000000018</v>
      </c>
      <c r="AB102" s="22">
        <f t="shared" si="16"/>
        <v>2.2400000000000033</v>
      </c>
      <c r="AC102" s="22">
        <v>1</v>
      </c>
      <c r="AD102" s="22">
        <f t="shared" si="17"/>
        <v>8.6670000000000046E-3</v>
      </c>
      <c r="AE102" s="22" t="str">
        <f t="shared" si="18"/>
        <v>1+0.008667j</v>
      </c>
      <c r="AG102" s="22" t="str">
        <f t="shared" si="19"/>
        <v>2.24+0.01941408j</v>
      </c>
      <c r="AH102" s="22" t="str">
        <f t="shared" si="20"/>
        <v>17.8406+0.01941408j</v>
      </c>
      <c r="AJ102" s="22" t="str">
        <f t="shared" si="21"/>
        <v>0.874442649139109-0.000951565504848412j</v>
      </c>
      <c r="AN102" s="22">
        <f t="shared" si="22"/>
        <v>0.87444316688412227</v>
      </c>
      <c r="AO102" s="22">
        <v>36</v>
      </c>
      <c r="CB102" s="24"/>
      <c r="CC102" s="24"/>
      <c r="CD102" s="24"/>
    </row>
    <row r="103" spans="1:82" s="22" customFormat="1" x14ac:dyDescent="0.15">
      <c r="A103" s="22">
        <f t="shared" si="0"/>
        <v>0.1215</v>
      </c>
      <c r="B103" s="22">
        <f t="shared" si="1"/>
        <v>4.8150000000000004</v>
      </c>
      <c r="C103" s="22">
        <f t="shared" si="23"/>
        <v>1.850000000000001</v>
      </c>
      <c r="D103" s="22">
        <f t="shared" si="5"/>
        <v>3.4225000000000034</v>
      </c>
      <c r="E103" s="22">
        <f t="shared" si="6"/>
        <v>16.479337500000018</v>
      </c>
      <c r="F103" s="22">
        <f t="shared" si="7"/>
        <v>2.4225000000000034</v>
      </c>
      <c r="G103" s="22">
        <f>1</f>
        <v>1</v>
      </c>
      <c r="H103" s="22">
        <f t="shared" si="8"/>
        <v>1.0822916250000005</v>
      </c>
      <c r="I103" s="22" t="str">
        <f t="shared" si="9"/>
        <v>1+1.082291625j</v>
      </c>
      <c r="K103" s="22" t="str">
        <f t="shared" si="10"/>
        <v>2.4225+2.6218514615625j</v>
      </c>
      <c r="L103" s="22" t="str">
        <f t="shared" si="11"/>
        <v>18.9018375+2.6218514615625j</v>
      </c>
      <c r="N103" s="22" t="str">
        <f t="shared" si="12"/>
        <v>0.855380225946732-0.118648776638255j</v>
      </c>
      <c r="R103" s="22">
        <f t="shared" si="13"/>
        <v>0.86356983686233324</v>
      </c>
      <c r="T103" s="22">
        <f t="shared" si="2"/>
        <v>1.05</v>
      </c>
      <c r="U103" s="22">
        <f t="shared" si="3"/>
        <v>0.97</v>
      </c>
      <c r="W103" s="22">
        <f t="shared" si="24"/>
        <v>1E-3</v>
      </c>
      <c r="X103" s="22">
        <f t="shared" si="4"/>
        <v>4.8150000000000004</v>
      </c>
      <c r="Y103" s="22">
        <f t="shared" si="25"/>
        <v>1.850000000000001</v>
      </c>
      <c r="Z103" s="22">
        <f t="shared" si="14"/>
        <v>3.4225000000000034</v>
      </c>
      <c r="AA103" s="22">
        <f t="shared" si="15"/>
        <v>16.479337500000018</v>
      </c>
      <c r="AB103" s="22">
        <f t="shared" si="16"/>
        <v>2.4225000000000034</v>
      </c>
      <c r="AC103" s="22">
        <v>1</v>
      </c>
      <c r="AD103" s="22">
        <f t="shared" si="17"/>
        <v>8.9077500000000059E-3</v>
      </c>
      <c r="AE103" s="22" t="str">
        <f t="shared" si="18"/>
        <v>1+0.00890775000000001j</v>
      </c>
      <c r="AG103" s="22" t="str">
        <f t="shared" si="19"/>
        <v>2.4225+0.0215790243750001j</v>
      </c>
      <c r="AH103" s="22" t="str">
        <f t="shared" si="20"/>
        <v>18.9018375+0.0215790243750001j</v>
      </c>
      <c r="AJ103" s="22" t="str">
        <f t="shared" si="21"/>
        <v>0.87183672073973-0.000995320473359418j</v>
      </c>
      <c r="AN103" s="22">
        <f t="shared" si="22"/>
        <v>0.87183728888655065</v>
      </c>
      <c r="AO103" s="22">
        <v>37</v>
      </c>
      <c r="CB103" s="24"/>
      <c r="CC103" s="24"/>
      <c r="CD103" s="24"/>
    </row>
    <row r="104" spans="1:82" s="22" customFormat="1" x14ac:dyDescent="0.15">
      <c r="A104" s="22">
        <f t="shared" si="0"/>
        <v>0.1215</v>
      </c>
      <c r="B104" s="22">
        <f t="shared" si="1"/>
        <v>4.8150000000000004</v>
      </c>
      <c r="C104" s="22">
        <f t="shared" si="23"/>
        <v>1.900000000000001</v>
      </c>
      <c r="D104" s="22">
        <f t="shared" si="5"/>
        <v>3.6100000000000039</v>
      </c>
      <c r="E104" s="22">
        <f t="shared" si="6"/>
        <v>17.382150000000021</v>
      </c>
      <c r="F104" s="22">
        <f t="shared" si="7"/>
        <v>2.6100000000000039</v>
      </c>
      <c r="G104" s="22">
        <f>1</f>
        <v>1</v>
      </c>
      <c r="H104" s="22">
        <f t="shared" si="8"/>
        <v>1.1115427500000006</v>
      </c>
      <c r="I104" s="22" t="str">
        <f t="shared" si="9"/>
        <v>1+1.11154275j</v>
      </c>
      <c r="K104" s="22" t="str">
        <f t="shared" si="10"/>
        <v>2.61+2.9011265775j</v>
      </c>
      <c r="L104" s="22" t="str">
        <f t="shared" si="11"/>
        <v>19.99215+2.9011265775j</v>
      </c>
      <c r="N104" s="22" t="str">
        <f t="shared" si="12"/>
        <v>0.851517615035999-0.123566519068252j</v>
      </c>
      <c r="R104" s="22">
        <f t="shared" si="13"/>
        <v>0.86043647839409998</v>
      </c>
      <c r="T104" s="22">
        <f t="shared" si="2"/>
        <v>1.05</v>
      </c>
      <c r="U104" s="22">
        <f t="shared" si="3"/>
        <v>0.97</v>
      </c>
      <c r="W104" s="22">
        <f t="shared" si="24"/>
        <v>1E-3</v>
      </c>
      <c r="X104" s="22">
        <f t="shared" si="4"/>
        <v>4.8150000000000004</v>
      </c>
      <c r="Y104" s="22">
        <f t="shared" si="25"/>
        <v>1.900000000000001</v>
      </c>
      <c r="Z104" s="22">
        <f t="shared" si="14"/>
        <v>3.6100000000000039</v>
      </c>
      <c r="AA104" s="22">
        <f t="shared" si="15"/>
        <v>17.382150000000021</v>
      </c>
      <c r="AB104" s="22">
        <f t="shared" si="16"/>
        <v>2.6100000000000039</v>
      </c>
      <c r="AC104" s="22">
        <v>1</v>
      </c>
      <c r="AD104" s="22">
        <f t="shared" si="17"/>
        <v>9.1485000000000056E-3</v>
      </c>
      <c r="AE104" s="22" t="str">
        <f t="shared" si="18"/>
        <v>1+0.00914850000000001j</v>
      </c>
      <c r="AG104" s="22" t="str">
        <f t="shared" si="19"/>
        <v>2.61+0.0238775850000001j</v>
      </c>
      <c r="AH104" s="22" t="str">
        <f t="shared" si="20"/>
        <v>19.99215+0.0238775850000001j</v>
      </c>
      <c r="AJ104" s="22" t="str">
        <f t="shared" si="21"/>
        <v>0.869447518399382-0.0010384229321819j</v>
      </c>
      <c r="AN104" s="22">
        <f t="shared" si="22"/>
        <v>0.86944813851835334</v>
      </c>
      <c r="AO104" s="22">
        <v>38</v>
      </c>
      <c r="CB104" s="24"/>
      <c r="CC104" s="24"/>
      <c r="CD104" s="24"/>
    </row>
    <row r="105" spans="1:82" s="22" customFormat="1" x14ac:dyDescent="0.15">
      <c r="A105" s="22">
        <f t="shared" si="0"/>
        <v>0.1215</v>
      </c>
      <c r="B105" s="22">
        <f t="shared" si="1"/>
        <v>4.8150000000000004</v>
      </c>
      <c r="C105" s="22">
        <f t="shared" si="23"/>
        <v>1.9500000000000011</v>
      </c>
      <c r="D105" s="22">
        <f t="shared" si="5"/>
        <v>3.8025000000000042</v>
      </c>
      <c r="E105" s="22">
        <f t="shared" si="6"/>
        <v>18.30903750000002</v>
      </c>
      <c r="F105" s="22">
        <f t="shared" si="7"/>
        <v>2.8025000000000042</v>
      </c>
      <c r="G105" s="22">
        <f>1</f>
        <v>1</v>
      </c>
      <c r="H105" s="22">
        <f t="shared" si="8"/>
        <v>1.1407938750000006</v>
      </c>
      <c r="I105" s="22" t="str">
        <f t="shared" si="9"/>
        <v>1+1.140793875j</v>
      </c>
      <c r="K105" s="22" t="str">
        <f t="shared" si="10"/>
        <v>2.8025+3.1970748346875j</v>
      </c>
      <c r="L105" s="22" t="str">
        <f t="shared" si="11"/>
        <v>21.1115375+3.1970748346875j</v>
      </c>
      <c r="N105" s="22" t="str">
        <f t="shared" si="12"/>
        <v>0.847809638550044-0.128390026544199j</v>
      </c>
      <c r="R105" s="22">
        <f t="shared" si="13"/>
        <v>0.85747605338830102</v>
      </c>
      <c r="T105" s="22">
        <f t="shared" si="2"/>
        <v>1.05</v>
      </c>
      <c r="U105" s="22">
        <f t="shared" si="3"/>
        <v>0.97</v>
      </c>
      <c r="W105" s="22">
        <f t="shared" si="24"/>
        <v>1E-3</v>
      </c>
      <c r="X105" s="22">
        <f t="shared" si="4"/>
        <v>4.8150000000000004</v>
      </c>
      <c r="Y105" s="22">
        <f t="shared" si="25"/>
        <v>1.9500000000000011</v>
      </c>
      <c r="Z105" s="22">
        <f t="shared" si="14"/>
        <v>3.8025000000000042</v>
      </c>
      <c r="AA105" s="22">
        <f t="shared" si="15"/>
        <v>18.30903750000002</v>
      </c>
      <c r="AB105" s="22">
        <f t="shared" si="16"/>
        <v>2.8025000000000042</v>
      </c>
      <c r="AC105" s="22">
        <v>1</v>
      </c>
      <c r="AD105" s="22">
        <f t="shared" si="17"/>
        <v>9.3892500000000052E-3</v>
      </c>
      <c r="AE105" s="22" t="str">
        <f t="shared" si="18"/>
        <v>1+0.00938925000000001j</v>
      </c>
      <c r="AG105" s="22" t="str">
        <f t="shared" si="19"/>
        <v>2.8025+0.0263133731250001j</v>
      </c>
      <c r="AH105" s="22" t="str">
        <f t="shared" si="20"/>
        <v>21.1115375+0.0263133731250001j</v>
      </c>
      <c r="AJ105" s="22" t="str">
        <f t="shared" si="21"/>
        <v>0.867251333865155-0.0010809401229611j</v>
      </c>
      <c r="AN105" s="22">
        <f t="shared" si="22"/>
        <v>0.86725200750556919</v>
      </c>
      <c r="AO105" s="22">
        <v>39</v>
      </c>
      <c r="CB105" s="24"/>
      <c r="CC105" s="24"/>
      <c r="CD105" s="24"/>
    </row>
    <row r="106" spans="1:82" s="22" customFormat="1" x14ac:dyDescent="0.15">
      <c r="A106" s="22">
        <f t="shared" si="0"/>
        <v>0.1215</v>
      </c>
      <c r="B106" s="22">
        <f t="shared" si="1"/>
        <v>4.8150000000000004</v>
      </c>
      <c r="C106" s="22">
        <f t="shared" si="23"/>
        <v>2.0000000000000009</v>
      </c>
      <c r="D106" s="22">
        <f t="shared" si="5"/>
        <v>4.0000000000000036</v>
      </c>
      <c r="E106" s="22">
        <f t="shared" si="6"/>
        <v>19.260000000000019</v>
      </c>
      <c r="F106" s="22">
        <f t="shared" si="7"/>
        <v>3.0000000000000036</v>
      </c>
      <c r="G106" s="22">
        <f>1</f>
        <v>1</v>
      </c>
      <c r="H106" s="22">
        <f t="shared" si="8"/>
        <v>1.1700450000000004</v>
      </c>
      <c r="I106" s="22" t="str">
        <f t="shared" si="9"/>
        <v>1+1.170045j</v>
      </c>
      <c r="K106" s="22" t="str">
        <f t="shared" si="10"/>
        <v>3+3.510135j</v>
      </c>
      <c r="L106" s="22" t="str">
        <f t="shared" si="11"/>
        <v>22.26+3.510135j</v>
      </c>
      <c r="N106" s="22" t="str">
        <f t="shared" si="12"/>
        <v>0.84423673600605-0.133126006978463j</v>
      </c>
      <c r="R106" s="22">
        <f t="shared" si="13"/>
        <v>0.85466847382840705</v>
      </c>
      <c r="T106" s="22">
        <f t="shared" si="2"/>
        <v>1.05</v>
      </c>
      <c r="U106" s="22">
        <f t="shared" si="3"/>
        <v>0.97</v>
      </c>
      <c r="W106" s="22">
        <f t="shared" si="24"/>
        <v>1E-3</v>
      </c>
      <c r="X106" s="22">
        <f t="shared" si="4"/>
        <v>4.8150000000000004</v>
      </c>
      <c r="Y106" s="22">
        <f t="shared" si="25"/>
        <v>2.0000000000000009</v>
      </c>
      <c r="Z106" s="22">
        <f t="shared" si="14"/>
        <v>4.0000000000000036</v>
      </c>
      <c r="AA106" s="22">
        <f t="shared" si="15"/>
        <v>19.260000000000019</v>
      </c>
      <c r="AB106" s="22">
        <f t="shared" si="16"/>
        <v>3.0000000000000036</v>
      </c>
      <c r="AC106" s="22">
        <v>1</v>
      </c>
      <c r="AD106" s="22">
        <f t="shared" si="17"/>
        <v>9.6300000000000049E-3</v>
      </c>
      <c r="AE106" s="22" t="str">
        <f t="shared" si="18"/>
        <v>1+0.00963j</v>
      </c>
      <c r="AG106" s="22" t="str">
        <f t="shared" si="19"/>
        <v>3+0.02889j</v>
      </c>
      <c r="AH106" s="22" t="str">
        <f t="shared" si="20"/>
        <v>22.26+0.02889j</v>
      </c>
      <c r="AJ106" s="22" t="str">
        <f t="shared" si="21"/>
        <v>0.865227653124245-0.00112293022905478j</v>
      </c>
      <c r="AN106" s="22">
        <f t="shared" si="22"/>
        <v>0.86522838181788053</v>
      </c>
      <c r="AO106" s="22">
        <v>40</v>
      </c>
      <c r="CB106" s="24"/>
      <c r="CC106" s="24"/>
      <c r="CD106" s="24"/>
    </row>
    <row r="107" spans="1:82" s="22" customFormat="1" x14ac:dyDescent="0.15">
      <c r="A107" s="22">
        <f t="shared" si="0"/>
        <v>0.1215</v>
      </c>
      <c r="B107" s="22">
        <f t="shared" si="1"/>
        <v>4.8150000000000004</v>
      </c>
      <c r="C107" s="22">
        <f t="shared" si="23"/>
        <v>2.0500000000000007</v>
      </c>
      <c r="D107" s="22">
        <f t="shared" si="5"/>
        <v>4.2025000000000032</v>
      </c>
      <c r="E107" s="22">
        <f t="shared" si="6"/>
        <v>20.235037500000018</v>
      </c>
      <c r="F107" s="22">
        <f t="shared" si="7"/>
        <v>3.2025000000000032</v>
      </c>
      <c r="G107" s="22">
        <f>1</f>
        <v>1</v>
      </c>
      <c r="H107" s="22">
        <f t="shared" si="8"/>
        <v>1.1992961250000005</v>
      </c>
      <c r="I107" s="22" t="str">
        <f t="shared" si="9"/>
        <v>1+1.199296125j</v>
      </c>
      <c r="K107" s="22" t="str">
        <f t="shared" si="10"/>
        <v>3.2025+3.8407458403125j</v>
      </c>
      <c r="L107" s="22" t="str">
        <f t="shared" si="11"/>
        <v>23.4375375+3.8407458403125j</v>
      </c>
      <c r="N107" s="22" t="str">
        <f t="shared" si="12"/>
        <v>0.840781953961182-0.137780250689144j</v>
      </c>
      <c r="R107" s="22">
        <f t="shared" si="13"/>
        <v>0.85199629787150277</v>
      </c>
      <c r="T107" s="22">
        <f t="shared" si="2"/>
        <v>1.05</v>
      </c>
      <c r="U107" s="22">
        <f t="shared" si="3"/>
        <v>0.97</v>
      </c>
      <c r="W107" s="22">
        <f t="shared" si="24"/>
        <v>1E-3</v>
      </c>
      <c r="X107" s="22">
        <f t="shared" si="4"/>
        <v>4.8150000000000004</v>
      </c>
      <c r="Y107" s="22">
        <f t="shared" si="25"/>
        <v>2.0500000000000007</v>
      </c>
      <c r="Z107" s="22">
        <f t="shared" si="14"/>
        <v>4.2025000000000032</v>
      </c>
      <c r="AA107" s="22">
        <f t="shared" si="15"/>
        <v>20.235037500000018</v>
      </c>
      <c r="AB107" s="22">
        <f t="shared" si="16"/>
        <v>3.2025000000000032</v>
      </c>
      <c r="AC107" s="22">
        <v>1</v>
      </c>
      <c r="AD107" s="22">
        <f t="shared" si="17"/>
        <v>9.8707500000000045E-3</v>
      </c>
      <c r="AE107" s="22" t="str">
        <f t="shared" si="18"/>
        <v>1+0.00987075j</v>
      </c>
      <c r="AG107" s="22" t="str">
        <f t="shared" si="19"/>
        <v>3.2025+0.031611076875j</v>
      </c>
      <c r="AH107" s="22" t="str">
        <f t="shared" si="20"/>
        <v>23.4375375+0.031611076875j</v>
      </c>
      <c r="AJ107" s="22" t="str">
        <f t="shared" si="21"/>
        <v>0.863358648094993-0.00116444385830324j</v>
      </c>
      <c r="AN107" s="22">
        <f t="shared" si="22"/>
        <v>0.86335943335896492</v>
      </c>
      <c r="AO107" s="22">
        <v>41</v>
      </c>
      <c r="CB107" s="24"/>
      <c r="CC107" s="24"/>
      <c r="CD107" s="24"/>
    </row>
    <row r="108" spans="1:82" s="22" customFormat="1" x14ac:dyDescent="0.15">
      <c r="A108" s="22">
        <f t="shared" si="0"/>
        <v>0.1215</v>
      </c>
      <c r="B108" s="22">
        <f t="shared" si="1"/>
        <v>4.8150000000000004</v>
      </c>
      <c r="C108" s="22">
        <f t="shared" si="23"/>
        <v>2.1000000000000005</v>
      </c>
      <c r="D108" s="22">
        <f t="shared" si="5"/>
        <v>4.4100000000000019</v>
      </c>
      <c r="E108" s="22">
        <f t="shared" si="6"/>
        <v>21.23415000000001</v>
      </c>
      <c r="F108" s="22">
        <f t="shared" si="7"/>
        <v>3.4100000000000019</v>
      </c>
      <c r="G108" s="22">
        <f>1</f>
        <v>1</v>
      </c>
      <c r="H108" s="22">
        <f t="shared" si="8"/>
        <v>1.2285472500000003</v>
      </c>
      <c r="I108" s="22" t="str">
        <f t="shared" si="9"/>
        <v>1+1.22854725j</v>
      </c>
      <c r="K108" s="22" t="str">
        <f t="shared" si="10"/>
        <v>3.41+4.1893461225j</v>
      </c>
      <c r="L108" s="22" t="str">
        <f t="shared" si="11"/>
        <v>24.64415+4.1893461225j</v>
      </c>
      <c r="N108" s="22" t="str">
        <f t="shared" si="12"/>
        <v>0.837430546338911-0.142357777085758j</v>
      </c>
      <c r="R108" s="22">
        <f t="shared" si="13"/>
        <v>0.84944432227090982</v>
      </c>
      <c r="T108" s="22">
        <f t="shared" si="2"/>
        <v>1.05</v>
      </c>
      <c r="U108" s="22">
        <f t="shared" si="3"/>
        <v>0.97</v>
      </c>
      <c r="W108" s="22">
        <f t="shared" si="24"/>
        <v>1E-3</v>
      </c>
      <c r="X108" s="22">
        <f t="shared" si="4"/>
        <v>4.8150000000000004</v>
      </c>
      <c r="Y108" s="22">
        <f t="shared" si="25"/>
        <v>2.1000000000000005</v>
      </c>
      <c r="Z108" s="22">
        <f t="shared" si="14"/>
        <v>4.4100000000000019</v>
      </c>
      <c r="AA108" s="22">
        <f t="shared" si="15"/>
        <v>21.23415000000001</v>
      </c>
      <c r="AB108" s="22">
        <f t="shared" si="16"/>
        <v>3.4100000000000019</v>
      </c>
      <c r="AC108" s="22">
        <v>1</v>
      </c>
      <c r="AD108" s="22">
        <f t="shared" si="17"/>
        <v>1.0111500000000002E-2</v>
      </c>
      <c r="AE108" s="22" t="str">
        <f t="shared" si="18"/>
        <v>1+0.0101115j</v>
      </c>
      <c r="AG108" s="22" t="str">
        <f t="shared" si="19"/>
        <v>3.41+0.034480215j</v>
      </c>
      <c r="AH108" s="22" t="str">
        <f t="shared" si="20"/>
        <v>24.64415+0.034480215j</v>
      </c>
      <c r="AJ108" s="22" t="str">
        <f t="shared" si="21"/>
        <v>0.861628761114927-0.00120552524365524j</v>
      </c>
      <c r="AN108" s="22">
        <f t="shared" si="22"/>
        <v>0.86162960445400039</v>
      </c>
      <c r="AO108" s="22">
        <v>42</v>
      </c>
      <c r="CB108" s="24"/>
      <c r="CC108" s="24"/>
      <c r="CD108" s="24"/>
    </row>
    <row r="109" spans="1:82" s="22" customFormat="1" x14ac:dyDescent="0.15">
      <c r="A109" s="22">
        <f t="shared" si="0"/>
        <v>0.1215</v>
      </c>
      <c r="B109" s="22">
        <f t="shared" si="1"/>
        <v>4.8150000000000004</v>
      </c>
      <c r="C109" s="22">
        <f t="shared" si="23"/>
        <v>2.1500000000000004</v>
      </c>
      <c r="D109" s="22">
        <f t="shared" si="5"/>
        <v>4.6225000000000014</v>
      </c>
      <c r="E109" s="22">
        <f t="shared" si="6"/>
        <v>22.257337500000009</v>
      </c>
      <c r="F109" s="22">
        <f t="shared" si="7"/>
        <v>3.6225000000000014</v>
      </c>
      <c r="G109" s="22">
        <f>1</f>
        <v>1</v>
      </c>
      <c r="H109" s="22">
        <f t="shared" si="8"/>
        <v>1.2577983750000004</v>
      </c>
      <c r="I109" s="22" t="str">
        <f t="shared" si="9"/>
        <v>1+1.257798375j</v>
      </c>
      <c r="K109" s="22" t="str">
        <f t="shared" si="10"/>
        <v>3.6225+4.5563746134375j</v>
      </c>
      <c r="L109" s="22" t="str">
        <f t="shared" si="11"/>
        <v>25.8798375+4.5563746134375j</v>
      </c>
      <c r="N109" s="22" t="str">
        <f t="shared" si="12"/>
        <v>0.834169645113814-0.146862954386663j</v>
      </c>
      <c r="R109" s="22">
        <f t="shared" si="13"/>
        <v>0.84699924687126227</v>
      </c>
      <c r="T109" s="22">
        <f t="shared" si="2"/>
        <v>1.05</v>
      </c>
      <c r="U109" s="22">
        <f t="shared" si="3"/>
        <v>0.97</v>
      </c>
      <c r="W109" s="22">
        <f t="shared" si="24"/>
        <v>1E-3</v>
      </c>
      <c r="X109" s="22">
        <f t="shared" si="4"/>
        <v>4.8150000000000004</v>
      </c>
      <c r="Y109" s="22">
        <f t="shared" si="25"/>
        <v>2.1500000000000004</v>
      </c>
      <c r="Z109" s="22">
        <f t="shared" si="14"/>
        <v>4.6225000000000014</v>
      </c>
      <c r="AA109" s="22">
        <f t="shared" si="15"/>
        <v>22.257337500000009</v>
      </c>
      <c r="AB109" s="22">
        <f t="shared" si="16"/>
        <v>3.6225000000000014</v>
      </c>
      <c r="AC109" s="22">
        <v>1</v>
      </c>
      <c r="AD109" s="22">
        <f t="shared" si="17"/>
        <v>1.0352250000000004E-2</v>
      </c>
      <c r="AE109" s="22" t="str">
        <f t="shared" si="18"/>
        <v>1+0.01035225j</v>
      </c>
      <c r="AG109" s="22" t="str">
        <f t="shared" si="19"/>
        <v>3.6225+0.037501025625j</v>
      </c>
      <c r="AH109" s="22" t="str">
        <f t="shared" si="20"/>
        <v>25.8798375+0.037501025625j</v>
      </c>
      <c r="AJ109" s="22" t="str">
        <f t="shared" si="21"/>
        <v>0.860024363202668-0.00124621322226569j</v>
      </c>
      <c r="AN109" s="22">
        <f t="shared" si="22"/>
        <v>0.86002526611114749</v>
      </c>
      <c r="AO109" s="22">
        <v>43</v>
      </c>
      <c r="CB109" s="24"/>
      <c r="CC109" s="24"/>
      <c r="CD109" s="24"/>
    </row>
    <row r="110" spans="1:82" s="22" customFormat="1" x14ac:dyDescent="0.15">
      <c r="A110" s="22">
        <f t="shared" si="0"/>
        <v>0.1215</v>
      </c>
      <c r="B110" s="22">
        <f t="shared" si="1"/>
        <v>4.8150000000000004</v>
      </c>
      <c r="C110" s="22">
        <f t="shared" si="23"/>
        <v>2.2000000000000002</v>
      </c>
      <c r="D110" s="22">
        <f t="shared" si="5"/>
        <v>4.8400000000000007</v>
      </c>
      <c r="E110" s="22">
        <f t="shared" si="6"/>
        <v>23.304600000000004</v>
      </c>
      <c r="F110" s="22">
        <f t="shared" si="7"/>
        <v>3.8400000000000007</v>
      </c>
      <c r="G110" s="22">
        <f>1</f>
        <v>1</v>
      </c>
      <c r="H110" s="22">
        <f t="shared" si="8"/>
        <v>1.2870495000000002</v>
      </c>
      <c r="I110" s="22" t="str">
        <f t="shared" si="9"/>
        <v>1+1.2870495j</v>
      </c>
      <c r="K110" s="22" t="str">
        <f t="shared" si="10"/>
        <v>3.84+4.94227008j</v>
      </c>
      <c r="L110" s="22" t="str">
        <f t="shared" si="11"/>
        <v>27.1446+4.94227008j</v>
      </c>
      <c r="N110" s="22" t="str">
        <f t="shared" si="12"/>
        <v>0.830987987438339-0.151299597973664j</v>
      </c>
      <c r="R110" s="22">
        <f t="shared" si="13"/>
        <v>0.84464939685872831</v>
      </c>
      <c r="T110" s="22">
        <f t="shared" si="2"/>
        <v>1.05</v>
      </c>
      <c r="U110" s="22">
        <f t="shared" si="3"/>
        <v>0.97</v>
      </c>
      <c r="W110" s="22">
        <f t="shared" si="24"/>
        <v>1E-3</v>
      </c>
      <c r="X110" s="22">
        <f t="shared" si="4"/>
        <v>4.8150000000000004</v>
      </c>
      <c r="Y110" s="22">
        <f t="shared" si="25"/>
        <v>2.2000000000000002</v>
      </c>
      <c r="Z110" s="22">
        <f t="shared" si="14"/>
        <v>4.8400000000000007</v>
      </c>
      <c r="AA110" s="22">
        <f t="shared" si="15"/>
        <v>23.304600000000004</v>
      </c>
      <c r="AB110" s="22">
        <f t="shared" si="16"/>
        <v>3.8400000000000007</v>
      </c>
      <c r="AC110" s="22">
        <v>1</v>
      </c>
      <c r="AD110" s="22">
        <f t="shared" si="17"/>
        <v>1.0593000000000002E-2</v>
      </c>
      <c r="AE110" s="22" t="str">
        <f t="shared" si="18"/>
        <v>1+0.010593j</v>
      </c>
      <c r="AG110" s="22" t="str">
        <f t="shared" si="19"/>
        <v>3.84+0.04067712j</v>
      </c>
      <c r="AH110" s="22" t="str">
        <f t="shared" si="20"/>
        <v>27.1446+0.04067712j</v>
      </c>
      <c r="AJ110" s="22" t="str">
        <f t="shared" si="21"/>
        <v>0.858533471378288-0.00128654203927379j</v>
      </c>
      <c r="AN110" s="22">
        <f t="shared" si="22"/>
        <v>0.85853443534157237</v>
      </c>
      <c r="AO110" s="22">
        <v>44</v>
      </c>
      <c r="CB110" s="24"/>
      <c r="CC110" s="24"/>
      <c r="CD110" s="24"/>
    </row>
    <row r="111" spans="1:82" s="22" customFormat="1" x14ac:dyDescent="0.15">
      <c r="A111" s="22">
        <f t="shared" si="0"/>
        <v>0.1215</v>
      </c>
      <c r="B111" s="22">
        <f t="shared" si="1"/>
        <v>4.8150000000000004</v>
      </c>
      <c r="C111" s="22">
        <f t="shared" si="23"/>
        <v>2.25</v>
      </c>
      <c r="D111" s="22">
        <f t="shared" si="5"/>
        <v>5.0625</v>
      </c>
      <c r="E111" s="22">
        <f t="shared" si="6"/>
        <v>24.375937500000003</v>
      </c>
      <c r="F111" s="22">
        <f t="shared" si="7"/>
        <v>4.0625</v>
      </c>
      <c r="G111" s="22">
        <f>1</f>
        <v>1</v>
      </c>
      <c r="H111" s="22">
        <f t="shared" si="8"/>
        <v>1.316300625</v>
      </c>
      <c r="I111" s="22" t="str">
        <f t="shared" si="9"/>
        <v>1+1.316300625j</v>
      </c>
      <c r="K111" s="22" t="str">
        <f t="shared" si="10"/>
        <v>4.0625+5.3474712890625j</v>
      </c>
      <c r="L111" s="22" t="str">
        <f t="shared" si="11"/>
        <v>28.4384375+5.3474712890625j</v>
      </c>
      <c r="N111" s="22" t="str">
        <f t="shared" si="12"/>
        <v>0.827875688335688-0.155671051698531j</v>
      </c>
      <c r="R111" s="22">
        <f t="shared" si="13"/>
        <v>0.84238449159170536</v>
      </c>
      <c r="T111" s="22">
        <f t="shared" si="2"/>
        <v>1.05</v>
      </c>
      <c r="U111" s="22">
        <f t="shared" si="3"/>
        <v>0.97</v>
      </c>
      <c r="W111" s="22">
        <f t="shared" si="24"/>
        <v>1E-3</v>
      </c>
      <c r="X111" s="22">
        <f t="shared" si="4"/>
        <v>4.8150000000000004</v>
      </c>
      <c r="Y111" s="22">
        <f t="shared" si="25"/>
        <v>2.25</v>
      </c>
      <c r="Z111" s="22">
        <f t="shared" si="14"/>
        <v>5.0625</v>
      </c>
      <c r="AA111" s="22">
        <f t="shared" si="15"/>
        <v>24.375937500000003</v>
      </c>
      <c r="AB111" s="22">
        <f t="shared" si="16"/>
        <v>4.0625</v>
      </c>
      <c r="AC111" s="22">
        <v>1</v>
      </c>
      <c r="AD111" s="22">
        <f t="shared" si="17"/>
        <v>1.083375E-2</v>
      </c>
      <c r="AE111" s="22" t="str">
        <f t="shared" si="18"/>
        <v>1+0.01083375j</v>
      </c>
      <c r="AG111" s="22" t="str">
        <f t="shared" si="19"/>
        <v>4.0625+0.044012109375j</v>
      </c>
      <c r="AH111" s="22" t="str">
        <f t="shared" si="20"/>
        <v>28.4384375+0.044012109375j</v>
      </c>
      <c r="AJ111" s="22" t="str">
        <f t="shared" si="21"/>
        <v>0.857145513570775-0.00132654201179539j</v>
      </c>
      <c r="AN111" s="22">
        <f t="shared" si="22"/>
        <v>0.8571465400666427</v>
      </c>
      <c r="AO111" s="22">
        <v>45</v>
      </c>
      <c r="CB111" s="24"/>
      <c r="CC111" s="24"/>
      <c r="CD111" s="24"/>
    </row>
    <row r="112" spans="1:82" s="22" customFormat="1" x14ac:dyDescent="0.15">
      <c r="A112" s="22">
        <f t="shared" si="0"/>
        <v>0.1215</v>
      </c>
      <c r="B112" s="22">
        <f t="shared" si="1"/>
        <v>4.8150000000000004</v>
      </c>
      <c r="C112" s="22">
        <f t="shared" si="23"/>
        <v>2.2999999999999998</v>
      </c>
      <c r="D112" s="22">
        <f t="shared" si="5"/>
        <v>5.2899999999999991</v>
      </c>
      <c r="E112" s="22">
        <f t="shared" si="6"/>
        <v>25.471349999999997</v>
      </c>
      <c r="F112" s="22">
        <f t="shared" si="7"/>
        <v>4.2899999999999991</v>
      </c>
      <c r="G112" s="22">
        <f>1</f>
        <v>1</v>
      </c>
      <c r="H112" s="22">
        <f t="shared" si="8"/>
        <v>1.34555175</v>
      </c>
      <c r="I112" s="22" t="str">
        <f t="shared" si="9"/>
        <v>1+1.34555175j</v>
      </c>
      <c r="K112" s="22" t="str">
        <f t="shared" si="10"/>
        <v>4.29+5.7724170075j</v>
      </c>
      <c r="L112" s="22" t="str">
        <f t="shared" si="11"/>
        <v>29.76135+5.7724170075j</v>
      </c>
      <c r="N112" s="22" t="str">
        <f t="shared" si="12"/>
        <v>0.824824050399156-0.159980255489725j</v>
      </c>
      <c r="R112" s="22">
        <f t="shared" si="13"/>
        <v>0.84019545122752659</v>
      </c>
      <c r="T112" s="22">
        <f t="shared" si="2"/>
        <v>1.05</v>
      </c>
      <c r="U112" s="22">
        <f t="shared" si="3"/>
        <v>0.97</v>
      </c>
      <c r="W112" s="22">
        <f t="shared" si="24"/>
        <v>1E-3</v>
      </c>
      <c r="X112" s="22">
        <f t="shared" si="4"/>
        <v>4.8150000000000004</v>
      </c>
      <c r="Y112" s="22">
        <f t="shared" si="25"/>
        <v>2.2999999999999998</v>
      </c>
      <c r="Z112" s="22">
        <f t="shared" si="14"/>
        <v>5.2899999999999991</v>
      </c>
      <c r="AA112" s="22">
        <f t="shared" si="15"/>
        <v>25.471349999999997</v>
      </c>
      <c r="AB112" s="22">
        <f t="shared" si="16"/>
        <v>4.2899999999999991</v>
      </c>
      <c r="AC112" s="22">
        <v>1</v>
      </c>
      <c r="AD112" s="22">
        <f t="shared" si="17"/>
        <v>1.1074500000000001E-2</v>
      </c>
      <c r="AE112" s="22" t="str">
        <f t="shared" si="18"/>
        <v>1+0.0110745j</v>
      </c>
      <c r="AG112" s="22" t="str">
        <f t="shared" si="19"/>
        <v>4.29+0.047509605j</v>
      </c>
      <c r="AH112" s="22" t="str">
        <f t="shared" si="20"/>
        <v>29.76135+0.047509605j</v>
      </c>
      <c r="AJ112" s="22" t="str">
        <f t="shared" si="21"/>
        <v>0.85585113210501-0.00136624008067886j</v>
      </c>
      <c r="AN112" s="22">
        <f t="shared" si="22"/>
        <v>0.85585222260468841</v>
      </c>
      <c r="AO112" s="22">
        <v>46</v>
      </c>
      <c r="CB112" s="24"/>
      <c r="CC112" s="24"/>
      <c r="CD112" s="24"/>
    </row>
    <row r="113" spans="1:82" s="22" customFormat="1" x14ac:dyDescent="0.15">
      <c r="A113" s="22">
        <f t="shared" si="0"/>
        <v>0.1215</v>
      </c>
      <c r="B113" s="22">
        <f t="shared" si="1"/>
        <v>4.8150000000000004</v>
      </c>
      <c r="C113" s="22">
        <f t="shared" si="23"/>
        <v>2.3499999999999996</v>
      </c>
      <c r="D113" s="22">
        <f t="shared" si="5"/>
        <v>5.5224999999999982</v>
      </c>
      <c r="E113" s="22">
        <f t="shared" si="6"/>
        <v>26.590837499999992</v>
      </c>
      <c r="F113" s="22">
        <f t="shared" si="7"/>
        <v>4.5224999999999982</v>
      </c>
      <c r="G113" s="22">
        <f>1</f>
        <v>1</v>
      </c>
      <c r="H113" s="22">
        <f t="shared" si="8"/>
        <v>1.3748028749999999</v>
      </c>
      <c r="I113" s="22" t="str">
        <f t="shared" si="9"/>
        <v>1+1.374802875j</v>
      </c>
      <c r="K113" s="22" t="str">
        <f t="shared" si="10"/>
        <v>4.5225+6.2175460021875j</v>
      </c>
      <c r="L113" s="22" t="str">
        <f t="shared" si="11"/>
        <v>31.1133375+6.2175460021875j</v>
      </c>
      <c r="N113" s="22" t="str">
        <f t="shared" si="12"/>
        <v>0.821825403716225-0.164229801877473j</v>
      </c>
      <c r="R113" s="22">
        <f t="shared" si="13"/>
        <v>0.8380742341929206</v>
      </c>
      <c r="T113" s="22">
        <f t="shared" si="2"/>
        <v>1.05</v>
      </c>
      <c r="U113" s="22">
        <f t="shared" si="3"/>
        <v>0.97</v>
      </c>
      <c r="W113" s="22">
        <f t="shared" si="24"/>
        <v>1E-3</v>
      </c>
      <c r="X113" s="22">
        <f t="shared" si="4"/>
        <v>4.8150000000000004</v>
      </c>
      <c r="Y113" s="22">
        <f t="shared" si="25"/>
        <v>2.3499999999999996</v>
      </c>
      <c r="Z113" s="22">
        <f t="shared" si="14"/>
        <v>5.5224999999999982</v>
      </c>
      <c r="AA113" s="22">
        <f t="shared" si="15"/>
        <v>26.590837499999992</v>
      </c>
      <c r="AB113" s="22">
        <f t="shared" si="16"/>
        <v>4.5224999999999982</v>
      </c>
      <c r="AC113" s="22">
        <v>1</v>
      </c>
      <c r="AD113" s="22">
        <f t="shared" si="17"/>
        <v>1.1315249999999999E-2</v>
      </c>
      <c r="AE113" s="22" t="str">
        <f t="shared" si="18"/>
        <v>1+0.01131525j</v>
      </c>
      <c r="AG113" s="22" t="str">
        <f t="shared" si="19"/>
        <v>4.5225+0.051173218125j</v>
      </c>
      <c r="AH113" s="22" t="str">
        <f t="shared" si="20"/>
        <v>31.1133375+0.051173218125j</v>
      </c>
      <c r="AJ113" s="22" t="str">
        <f t="shared" si="21"/>
        <v>0.854642018646836-0.00140566027154769j</v>
      </c>
      <c r="AN113" s="22">
        <f t="shared" si="22"/>
        <v>0.85464317461589656</v>
      </c>
      <c r="AO113" s="22">
        <v>47</v>
      </c>
      <c r="CB113" s="24"/>
      <c r="CC113" s="24"/>
      <c r="CD113" s="24"/>
    </row>
    <row r="114" spans="1:82" s="22" customFormat="1" x14ac:dyDescent="0.15">
      <c r="A114" s="22">
        <f t="shared" si="0"/>
        <v>0.1215</v>
      </c>
      <c r="B114" s="22">
        <f t="shared" si="1"/>
        <v>4.8150000000000004</v>
      </c>
      <c r="C114" s="22">
        <f t="shared" si="23"/>
        <v>2.3999999999999995</v>
      </c>
      <c r="D114" s="22">
        <f t="shared" si="5"/>
        <v>5.7599999999999971</v>
      </c>
      <c r="E114" s="22">
        <f t="shared" si="6"/>
        <v>27.734399999999987</v>
      </c>
      <c r="F114" s="22">
        <f t="shared" si="7"/>
        <v>4.7599999999999971</v>
      </c>
      <c r="G114" s="22">
        <f>1</f>
        <v>1</v>
      </c>
      <c r="H114" s="22">
        <f t="shared" si="8"/>
        <v>1.4040539999999999</v>
      </c>
      <c r="I114" s="22" t="str">
        <f t="shared" si="9"/>
        <v>1+1.404054j</v>
      </c>
      <c r="K114" s="22" t="str">
        <f t="shared" si="10"/>
        <v>4.76+6.68329704j</v>
      </c>
      <c r="L114" s="22" t="str">
        <f t="shared" si="11"/>
        <v>32.4944+6.68329704j</v>
      </c>
      <c r="N114" s="22" t="str">
        <f t="shared" si="12"/>
        <v>0.818872970610585-0.168421983499241j</v>
      </c>
      <c r="R114" s="22">
        <f t="shared" si="13"/>
        <v>0.8360136999609652</v>
      </c>
      <c r="T114" s="22">
        <f t="shared" si="2"/>
        <v>1.05</v>
      </c>
      <c r="U114" s="22">
        <f t="shared" si="3"/>
        <v>0.97</v>
      </c>
      <c r="W114" s="22">
        <f t="shared" si="24"/>
        <v>1E-3</v>
      </c>
      <c r="X114" s="22">
        <f t="shared" si="4"/>
        <v>4.8150000000000004</v>
      </c>
      <c r="Y114" s="22">
        <f t="shared" si="25"/>
        <v>2.3999999999999995</v>
      </c>
      <c r="Z114" s="22">
        <f t="shared" si="14"/>
        <v>5.7599999999999971</v>
      </c>
      <c r="AA114" s="22">
        <f t="shared" si="15"/>
        <v>27.734399999999987</v>
      </c>
      <c r="AB114" s="22">
        <f t="shared" si="16"/>
        <v>4.7599999999999971</v>
      </c>
      <c r="AC114" s="22">
        <v>1</v>
      </c>
      <c r="AD114" s="22">
        <f t="shared" si="17"/>
        <v>1.1555999999999999E-2</v>
      </c>
      <c r="AE114" s="22" t="str">
        <f t="shared" si="18"/>
        <v>1+0.011556j</v>
      </c>
      <c r="AG114" s="22" t="str">
        <f t="shared" si="19"/>
        <v>4.76+0.05500656j</v>
      </c>
      <c r="AH114" s="22" t="str">
        <f t="shared" si="20"/>
        <v>32.4944+0.05500656j</v>
      </c>
      <c r="AJ114" s="22" t="str">
        <f t="shared" si="21"/>
        <v>0.853510774939603-0.00144482408206835j</v>
      </c>
      <c r="AN114" s="22">
        <f t="shared" si="22"/>
        <v>0.85351199783871212</v>
      </c>
      <c r="AO114" s="22">
        <v>48</v>
      </c>
      <c r="CB114" s="24"/>
      <c r="CC114" s="24"/>
      <c r="CD114" s="24"/>
    </row>
    <row r="115" spans="1:82" s="22" customFormat="1" x14ac:dyDescent="0.15">
      <c r="A115" s="22">
        <f t="shared" si="0"/>
        <v>0.1215</v>
      </c>
      <c r="B115" s="22">
        <f t="shared" si="1"/>
        <v>4.8150000000000004</v>
      </c>
      <c r="C115" s="22">
        <f t="shared" si="23"/>
        <v>2.4499999999999993</v>
      </c>
      <c r="D115" s="22">
        <f t="shared" si="5"/>
        <v>6.0024999999999968</v>
      </c>
      <c r="E115" s="22">
        <f t="shared" si="6"/>
        <v>28.902037499999988</v>
      </c>
      <c r="F115" s="22">
        <f t="shared" si="7"/>
        <v>5.0024999999999968</v>
      </c>
      <c r="G115" s="22">
        <f>1</f>
        <v>1</v>
      </c>
      <c r="H115" s="22">
        <f t="shared" si="8"/>
        <v>1.4333051249999997</v>
      </c>
      <c r="I115" s="22" t="str">
        <f t="shared" si="9"/>
        <v>1+1.433305125j</v>
      </c>
      <c r="K115" s="22" t="str">
        <f t="shared" si="10"/>
        <v>5.0025+7.1701088878125j</v>
      </c>
      <c r="L115" s="22" t="str">
        <f t="shared" si="11"/>
        <v>33.9045375+7.1701088878125j</v>
      </c>
      <c r="N115" s="22" t="str">
        <f t="shared" si="12"/>
        <v>0.815960750865678-0.17255883322072j</v>
      </c>
      <c r="R115" s="22">
        <f t="shared" si="13"/>
        <v>0.83400749269762398</v>
      </c>
      <c r="T115" s="22">
        <f t="shared" si="2"/>
        <v>1.05</v>
      </c>
      <c r="U115" s="22">
        <f t="shared" si="3"/>
        <v>0.97</v>
      </c>
      <c r="W115" s="22">
        <f t="shared" si="24"/>
        <v>1E-3</v>
      </c>
      <c r="X115" s="22">
        <f t="shared" si="4"/>
        <v>4.8150000000000004</v>
      </c>
      <c r="Y115" s="22">
        <f t="shared" si="25"/>
        <v>2.4499999999999993</v>
      </c>
      <c r="Z115" s="22">
        <f t="shared" si="14"/>
        <v>6.0024999999999968</v>
      </c>
      <c r="AA115" s="22">
        <f t="shared" si="15"/>
        <v>28.902037499999988</v>
      </c>
      <c r="AB115" s="22">
        <f t="shared" si="16"/>
        <v>5.0024999999999968</v>
      </c>
      <c r="AC115" s="22">
        <v>1</v>
      </c>
      <c r="AD115" s="22">
        <f t="shared" si="17"/>
        <v>1.1796749999999998E-2</v>
      </c>
      <c r="AE115" s="22" t="str">
        <f t="shared" si="18"/>
        <v>1+0.01179675j</v>
      </c>
      <c r="AG115" s="22" t="str">
        <f t="shared" si="19"/>
        <v>5.0025+0.059013241875j</v>
      </c>
      <c r="AH115" s="22" t="str">
        <f t="shared" si="20"/>
        <v>33.9045375+0.059013241875j</v>
      </c>
      <c r="AJ115" s="22" t="str">
        <f t="shared" si="21"/>
        <v>0.852450794795671-0.00148375080886483j</v>
      </c>
      <c r="AN115" s="22">
        <f t="shared" si="22"/>
        <v>0.85245208608122602</v>
      </c>
      <c r="AO115" s="22">
        <v>49</v>
      </c>
      <c r="CB115" s="24"/>
      <c r="CC115" s="24"/>
      <c r="CD115" s="24"/>
    </row>
    <row r="116" spans="1:82" s="22" customFormat="1" x14ac:dyDescent="0.15">
      <c r="A116" s="22">
        <f t="shared" si="0"/>
        <v>0.1215</v>
      </c>
      <c r="B116" s="22">
        <f t="shared" si="1"/>
        <v>4.8150000000000004</v>
      </c>
      <c r="C116" s="22">
        <f t="shared" si="23"/>
        <v>2.4999999999999991</v>
      </c>
      <c r="D116" s="22">
        <f t="shared" si="5"/>
        <v>6.2499999999999956</v>
      </c>
      <c r="E116" s="22">
        <f t="shared" si="6"/>
        <v>30.093749999999982</v>
      </c>
      <c r="F116" s="22">
        <f t="shared" si="7"/>
        <v>5.2499999999999956</v>
      </c>
      <c r="G116" s="22">
        <f>1</f>
        <v>1</v>
      </c>
      <c r="H116" s="22">
        <f t="shared" si="8"/>
        <v>1.4625562499999996</v>
      </c>
      <c r="I116" s="22" t="str">
        <f t="shared" si="9"/>
        <v>1+1.46255625j</v>
      </c>
      <c r="K116" s="22" t="str">
        <f t="shared" si="10"/>
        <v>5.25+7.67842031249999j</v>
      </c>
      <c r="L116" s="22" t="str">
        <f t="shared" si="11"/>
        <v>35.34375+7.67842031249999j</v>
      </c>
      <c r="N116" s="22" t="str">
        <f t="shared" si="12"/>
        <v>0.81308342393231-0.176642158177298j</v>
      </c>
      <c r="R116" s="22">
        <f t="shared" si="13"/>
        <v>0.83204994220240314</v>
      </c>
      <c r="T116" s="22">
        <f t="shared" si="2"/>
        <v>1.05</v>
      </c>
      <c r="U116" s="22">
        <f t="shared" si="3"/>
        <v>0.97</v>
      </c>
      <c r="W116" s="22">
        <f t="shared" si="24"/>
        <v>1E-3</v>
      </c>
      <c r="X116" s="22">
        <f t="shared" si="4"/>
        <v>4.8150000000000004</v>
      </c>
      <c r="Y116" s="22">
        <f t="shared" si="25"/>
        <v>2.4999999999999991</v>
      </c>
      <c r="Z116" s="22">
        <f t="shared" si="14"/>
        <v>6.2499999999999956</v>
      </c>
      <c r="AA116" s="22">
        <f t="shared" si="15"/>
        <v>30.093749999999982</v>
      </c>
      <c r="AB116" s="22">
        <f t="shared" si="16"/>
        <v>5.2499999999999956</v>
      </c>
      <c r="AC116" s="22">
        <v>1</v>
      </c>
      <c r="AD116" s="22">
        <f t="shared" si="17"/>
        <v>1.2037499999999996E-2</v>
      </c>
      <c r="AE116" s="22" t="str">
        <f t="shared" si="18"/>
        <v>1+0.0120375j</v>
      </c>
      <c r="AG116" s="22" t="str">
        <f t="shared" si="19"/>
        <v>5.25+0.0631968749999999j</v>
      </c>
      <c r="AH116" s="22" t="str">
        <f t="shared" si="20"/>
        <v>35.34375+0.0631968749999999j</v>
      </c>
      <c r="AJ116" s="22" t="str">
        <f t="shared" si="21"/>
        <v>0.851456163690133-0.00152245782478387j</v>
      </c>
      <c r="AN116" s="22">
        <f t="shared" si="22"/>
        <v>0.85145752481480053</v>
      </c>
      <c r="AO116" s="22">
        <v>50</v>
      </c>
      <c r="CB116" s="24"/>
      <c r="CC116" s="24"/>
      <c r="CD116" s="24"/>
    </row>
    <row r="117" spans="1:82" s="22" customFormat="1" x14ac:dyDescent="0.15">
      <c r="A117" s="22">
        <f t="shared" si="0"/>
        <v>0.1215</v>
      </c>
      <c r="B117" s="22">
        <f t="shared" si="1"/>
        <v>4.8150000000000004</v>
      </c>
      <c r="C117" s="22">
        <f t="shared" si="23"/>
        <v>2.5499999999999989</v>
      </c>
      <c r="D117" s="22">
        <f t="shared" si="5"/>
        <v>6.5024999999999942</v>
      </c>
      <c r="E117" s="22">
        <f t="shared" si="6"/>
        <v>31.309537499999976</v>
      </c>
      <c r="F117" s="22">
        <f t="shared" si="7"/>
        <v>5.5024999999999942</v>
      </c>
      <c r="G117" s="22">
        <f>1</f>
        <v>1</v>
      </c>
      <c r="H117" s="22">
        <f t="shared" si="8"/>
        <v>1.4918073749999996</v>
      </c>
      <c r="I117" s="22" t="str">
        <f t="shared" si="9"/>
        <v>1+1.491807375j</v>
      </c>
      <c r="K117" s="22" t="str">
        <f t="shared" si="10"/>
        <v>5.50249999999999+8.20867008093749j</v>
      </c>
      <c r="L117" s="22" t="str">
        <f t="shared" si="11"/>
        <v>36.8120375+8.20867008093749j</v>
      </c>
      <c r="N117" s="22" t="str">
        <f t="shared" si="12"/>
        <v>0.810236265284357-0.180673568783859j</v>
      </c>
      <c r="R117" s="22">
        <f t="shared" si="13"/>
        <v>0.83013597924619476</v>
      </c>
      <c r="T117" s="22">
        <f t="shared" si="2"/>
        <v>1.05</v>
      </c>
      <c r="U117" s="22">
        <f t="shared" si="3"/>
        <v>0.97</v>
      </c>
      <c r="W117" s="22">
        <f t="shared" si="24"/>
        <v>1E-3</v>
      </c>
      <c r="X117" s="22">
        <f t="shared" si="4"/>
        <v>4.8150000000000004</v>
      </c>
      <c r="Y117" s="22">
        <f t="shared" si="25"/>
        <v>2.5499999999999989</v>
      </c>
      <c r="Z117" s="22">
        <f t="shared" si="14"/>
        <v>6.5024999999999942</v>
      </c>
      <c r="AA117" s="22">
        <f t="shared" si="15"/>
        <v>31.309537499999976</v>
      </c>
      <c r="AB117" s="22">
        <f t="shared" si="16"/>
        <v>5.5024999999999942</v>
      </c>
      <c r="AC117" s="22">
        <v>1</v>
      </c>
      <c r="AD117" s="22">
        <f t="shared" si="17"/>
        <v>1.2278249999999996E-2</v>
      </c>
      <c r="AE117" s="22" t="str">
        <f t="shared" si="18"/>
        <v>1+0.01227825j</v>
      </c>
      <c r="AG117" s="22" t="str">
        <f t="shared" si="19"/>
        <v>5.50249999999999+0.0675610706249999j</v>
      </c>
      <c r="AH117" s="22" t="str">
        <f t="shared" si="20"/>
        <v>36.8120375+0.0675610706249999j</v>
      </c>
      <c r="AJ117" s="22" t="str">
        <f t="shared" si="21"/>
        <v>0.850521572999487-0.00156096081510034j</v>
      </c>
      <c r="AN117" s="22">
        <f t="shared" si="22"/>
        <v>0.85052300541266257</v>
      </c>
      <c r="AO117" s="22">
        <v>51</v>
      </c>
      <c r="CB117" s="24"/>
      <c r="CC117" s="24"/>
      <c r="CD117" s="24"/>
    </row>
    <row r="118" spans="1:82" s="22" customFormat="1" x14ac:dyDescent="0.15">
      <c r="A118" s="22">
        <f t="shared" si="0"/>
        <v>0.1215</v>
      </c>
      <c r="B118" s="22">
        <f t="shared" si="1"/>
        <v>4.8150000000000004</v>
      </c>
      <c r="C118" s="22">
        <f t="shared" si="23"/>
        <v>2.5999999999999988</v>
      </c>
      <c r="D118" s="22">
        <f t="shared" si="5"/>
        <v>6.7599999999999936</v>
      </c>
      <c r="E118" s="22">
        <f t="shared" si="6"/>
        <v>32.54939999999997</v>
      </c>
      <c r="F118" s="22">
        <f t="shared" si="7"/>
        <v>5.7599999999999936</v>
      </c>
      <c r="G118" s="22">
        <f>1</f>
        <v>1</v>
      </c>
      <c r="H118" s="22">
        <f t="shared" si="8"/>
        <v>1.5210584999999994</v>
      </c>
      <c r="I118" s="22" t="str">
        <f t="shared" si="9"/>
        <v>1+1.5210585j</v>
      </c>
      <c r="K118" s="22" t="str">
        <f t="shared" si="10"/>
        <v>5.75999999999999+8.76129695999999j</v>
      </c>
      <c r="L118" s="22" t="str">
        <f t="shared" si="11"/>
        <v>38.3094+8.76129695999999j</v>
      </c>
      <c r="N118" s="22" t="str">
        <f t="shared" si="12"/>
        <v>0.807415074611361-0.184654503559197j</v>
      </c>
      <c r="R118" s="22">
        <f t="shared" si="13"/>
        <v>0.82826106294716229</v>
      </c>
      <c r="T118" s="22">
        <f t="shared" si="2"/>
        <v>1.05</v>
      </c>
      <c r="U118" s="22">
        <f t="shared" si="3"/>
        <v>0.97</v>
      </c>
      <c r="W118" s="22">
        <f t="shared" si="24"/>
        <v>1E-3</v>
      </c>
      <c r="X118" s="22">
        <f t="shared" si="4"/>
        <v>4.8150000000000004</v>
      </c>
      <c r="Y118" s="22">
        <f t="shared" si="25"/>
        <v>2.5999999999999988</v>
      </c>
      <c r="Z118" s="22">
        <f t="shared" si="14"/>
        <v>6.7599999999999936</v>
      </c>
      <c r="AA118" s="22">
        <f t="shared" si="15"/>
        <v>32.54939999999997</v>
      </c>
      <c r="AB118" s="22">
        <f t="shared" si="16"/>
        <v>5.7599999999999936</v>
      </c>
      <c r="AC118" s="22">
        <v>1</v>
      </c>
      <c r="AD118" s="22">
        <f t="shared" si="17"/>
        <v>1.2518999999999995E-2</v>
      </c>
      <c r="AE118" s="22" t="str">
        <f t="shared" si="18"/>
        <v>1+0.012519j</v>
      </c>
      <c r="AG118" s="22" t="str">
        <f t="shared" si="19"/>
        <v>5.75999999999999+0.0721094399999999j</v>
      </c>
      <c r="AH118" s="22" t="str">
        <f t="shared" si="20"/>
        <v>38.3094+0.0721094399999999j</v>
      </c>
      <c r="AJ118" s="22" t="str">
        <f t="shared" si="21"/>
        <v>0.849642246478642-0.00159927397959552j</v>
      </c>
      <c r="AN118" s="22">
        <f t="shared" si="22"/>
        <v>0.84964375162684214</v>
      </c>
      <c r="AO118" s="22">
        <v>52</v>
      </c>
      <c r="CB118" s="24"/>
      <c r="CC118" s="24"/>
      <c r="CD118" s="24"/>
    </row>
    <row r="119" spans="1:82" s="22" customFormat="1" x14ac:dyDescent="0.15">
      <c r="A119" s="22">
        <f t="shared" si="0"/>
        <v>0.1215</v>
      </c>
      <c r="B119" s="22">
        <f t="shared" si="1"/>
        <v>4.8150000000000004</v>
      </c>
      <c r="C119" s="22">
        <f t="shared" si="23"/>
        <v>2.6499999999999986</v>
      </c>
      <c r="D119" s="22">
        <f t="shared" si="5"/>
        <v>7.0224999999999929</v>
      </c>
      <c r="E119" s="22">
        <f t="shared" si="6"/>
        <v>33.813337499999967</v>
      </c>
      <c r="F119" s="22">
        <f t="shared" si="7"/>
        <v>6.0224999999999929</v>
      </c>
      <c r="G119" s="22">
        <f>1</f>
        <v>1</v>
      </c>
      <c r="H119" s="22">
        <f t="shared" si="8"/>
        <v>1.5503096249999992</v>
      </c>
      <c r="I119" s="22" t="str">
        <f t="shared" si="9"/>
        <v>1+1.550309625j</v>
      </c>
      <c r="K119" s="22" t="str">
        <f t="shared" si="10"/>
        <v>6.02249999999999+9.33673971656249j</v>
      </c>
      <c r="L119" s="22" t="str">
        <f t="shared" si="11"/>
        <v>39.8358375+9.33673971656249j</v>
      </c>
      <c r="N119" s="22" t="str">
        <f t="shared" si="12"/>
        <v>0.804616113955287-0.188586250452309j</v>
      </c>
      <c r="R119" s="22">
        <f t="shared" si="13"/>
        <v>0.82642111825398579</v>
      </c>
      <c r="T119" s="22">
        <f t="shared" si="2"/>
        <v>1.05</v>
      </c>
      <c r="U119" s="22">
        <f t="shared" si="3"/>
        <v>0.97</v>
      </c>
      <c r="W119" s="22">
        <f t="shared" si="24"/>
        <v>1E-3</v>
      </c>
      <c r="X119" s="22">
        <f t="shared" si="4"/>
        <v>4.8150000000000004</v>
      </c>
      <c r="Y119" s="22">
        <f t="shared" si="25"/>
        <v>2.6499999999999986</v>
      </c>
      <c r="Z119" s="22">
        <f t="shared" si="14"/>
        <v>7.0224999999999929</v>
      </c>
      <c r="AA119" s="22">
        <f t="shared" si="15"/>
        <v>33.813337499999967</v>
      </c>
      <c r="AB119" s="22">
        <f t="shared" si="16"/>
        <v>6.0224999999999929</v>
      </c>
      <c r="AC119" s="22">
        <v>1</v>
      </c>
      <c r="AD119" s="22">
        <f t="shared" si="17"/>
        <v>1.2759749999999995E-2</v>
      </c>
      <c r="AE119" s="22" t="str">
        <f t="shared" si="18"/>
        <v>1+0.01275975j</v>
      </c>
      <c r="AG119" s="22" t="str">
        <f t="shared" si="19"/>
        <v>6.02249999999999+0.0768455943749999j</v>
      </c>
      <c r="AH119" s="22" t="str">
        <f t="shared" si="20"/>
        <v>39.8358375+0.0768455943749999j</v>
      </c>
      <c r="AJ119" s="22" t="str">
        <f t="shared" si="21"/>
        <v>0.848813877008095-0.00163741020613499j</v>
      </c>
      <c r="AN119" s="22">
        <f t="shared" si="22"/>
        <v>0.84881545633529576</v>
      </c>
      <c r="AO119" s="22">
        <v>53</v>
      </c>
      <c r="CB119" s="24"/>
      <c r="CC119" s="24"/>
      <c r="CD119" s="24"/>
    </row>
    <row r="120" spans="1:82" s="22" customFormat="1" x14ac:dyDescent="0.15">
      <c r="A120" s="22">
        <f t="shared" si="0"/>
        <v>0.1215</v>
      </c>
      <c r="B120" s="22">
        <f t="shared" si="1"/>
        <v>4.8150000000000004</v>
      </c>
      <c r="C120" s="22">
        <f t="shared" si="23"/>
        <v>2.6999999999999984</v>
      </c>
      <c r="D120" s="22">
        <f t="shared" si="5"/>
        <v>7.2899999999999912</v>
      </c>
      <c r="E120" s="22">
        <f t="shared" si="6"/>
        <v>35.101349999999961</v>
      </c>
      <c r="F120" s="22">
        <f t="shared" si="7"/>
        <v>6.2899999999999912</v>
      </c>
      <c r="G120" s="22">
        <f>1</f>
        <v>1</v>
      </c>
      <c r="H120" s="22">
        <f t="shared" si="8"/>
        <v>1.5795607499999991</v>
      </c>
      <c r="I120" s="22" t="str">
        <f t="shared" si="9"/>
        <v>1+1.57956075j</v>
      </c>
      <c r="K120" s="22" t="str">
        <f t="shared" si="10"/>
        <v>6.28999999999999+9.93543711749999j</v>
      </c>
      <c r="L120" s="22" t="str">
        <f t="shared" si="11"/>
        <v>41.39135+9.93543711749999j</v>
      </c>
      <c r="N120" s="22" t="str">
        <f t="shared" si="12"/>
        <v>0.80183605423437-0.192469965231622j</v>
      </c>
      <c r="R120" s="22">
        <f t="shared" si="13"/>
        <v>0.82461248194919134</v>
      </c>
      <c r="T120" s="22">
        <f t="shared" si="2"/>
        <v>1.05</v>
      </c>
      <c r="U120" s="22">
        <f t="shared" si="3"/>
        <v>0.97</v>
      </c>
      <c r="W120" s="22">
        <f t="shared" si="24"/>
        <v>1E-3</v>
      </c>
      <c r="X120" s="22">
        <f t="shared" si="4"/>
        <v>4.8150000000000004</v>
      </c>
      <c r="Y120" s="22">
        <f t="shared" si="25"/>
        <v>2.6999999999999984</v>
      </c>
      <c r="Z120" s="22">
        <f t="shared" si="14"/>
        <v>7.2899999999999912</v>
      </c>
      <c r="AA120" s="22">
        <f t="shared" si="15"/>
        <v>35.101349999999961</v>
      </c>
      <c r="AB120" s="22">
        <f t="shared" si="16"/>
        <v>6.2899999999999912</v>
      </c>
      <c r="AC120" s="22">
        <v>1</v>
      </c>
      <c r="AD120" s="22">
        <f t="shared" si="17"/>
        <v>1.3000499999999993E-2</v>
      </c>
      <c r="AE120" s="22" t="str">
        <f t="shared" si="18"/>
        <v>1+0.0130005j</v>
      </c>
      <c r="AG120" s="22" t="str">
        <f t="shared" si="19"/>
        <v>6.28999999999999+0.0817731449999999j</v>
      </c>
      <c r="AH120" s="22" t="str">
        <f t="shared" si="20"/>
        <v>41.39135+0.0817731449999999j</v>
      </c>
      <c r="AJ120" s="22" t="str">
        <f t="shared" si="21"/>
        <v>0.848032571994112-0.00167538122033704j</v>
      </c>
      <c r="AN120" s="22">
        <f t="shared" si="22"/>
        <v>0.84803422694203934</v>
      </c>
      <c r="AO120" s="22">
        <v>54</v>
      </c>
      <c r="CB120" s="24"/>
      <c r="CC120" s="24"/>
      <c r="CD120" s="24"/>
    </row>
    <row r="121" spans="1:82" s="22" customFormat="1" x14ac:dyDescent="0.15">
      <c r="A121" s="22">
        <f t="shared" si="0"/>
        <v>0.1215</v>
      </c>
      <c r="B121" s="22">
        <f t="shared" si="1"/>
        <v>4.8150000000000004</v>
      </c>
      <c r="C121" s="22">
        <f t="shared" si="23"/>
        <v>2.7499999999999982</v>
      </c>
      <c r="D121" s="22">
        <f t="shared" si="5"/>
        <v>7.5624999999999902</v>
      </c>
      <c r="E121" s="22">
        <f t="shared" si="6"/>
        <v>36.413437499999958</v>
      </c>
      <c r="F121" s="22">
        <f t="shared" si="7"/>
        <v>6.5624999999999902</v>
      </c>
      <c r="G121" s="22">
        <f>1</f>
        <v>1</v>
      </c>
      <c r="H121" s="22">
        <f t="shared" si="8"/>
        <v>1.6088118749999989</v>
      </c>
      <c r="I121" s="22" t="str">
        <f t="shared" si="9"/>
        <v>1+1.608811875j</v>
      </c>
      <c r="K121" s="22" t="str">
        <f t="shared" si="10"/>
        <v>6.56249999999999+10.5578279296875j</v>
      </c>
      <c r="L121" s="22" t="str">
        <f t="shared" si="11"/>
        <v>42.9759375+10.5578279296875j</v>
      </c>
      <c r="N121" s="22" t="str">
        <f t="shared" si="12"/>
        <v>0.799071928867416-0.196306687397469j</v>
      </c>
      <c r="R121" s="22">
        <f t="shared" si="13"/>
        <v>0.82283185586173102</v>
      </c>
      <c r="T121" s="22">
        <f t="shared" si="2"/>
        <v>1.05</v>
      </c>
      <c r="U121" s="22">
        <f t="shared" si="3"/>
        <v>0.97</v>
      </c>
      <c r="W121" s="22">
        <f t="shared" si="24"/>
        <v>1E-3</v>
      </c>
      <c r="X121" s="22">
        <f t="shared" si="4"/>
        <v>4.8150000000000004</v>
      </c>
      <c r="Y121" s="22">
        <f t="shared" si="25"/>
        <v>2.7499999999999982</v>
      </c>
      <c r="Z121" s="22">
        <f t="shared" si="14"/>
        <v>7.5624999999999902</v>
      </c>
      <c r="AA121" s="22">
        <f t="shared" si="15"/>
        <v>36.413437499999958</v>
      </c>
      <c r="AB121" s="22">
        <f t="shared" si="16"/>
        <v>6.5624999999999902</v>
      </c>
      <c r="AC121" s="22">
        <v>1</v>
      </c>
      <c r="AD121" s="22">
        <f t="shared" si="17"/>
        <v>1.3241249999999993E-2</v>
      </c>
      <c r="AE121" s="22" t="str">
        <f t="shared" si="18"/>
        <v>1+0.01324125j</v>
      </c>
      <c r="AG121" s="22" t="str">
        <f t="shared" si="19"/>
        <v>6.56249999999999+0.0868957031249999j</v>
      </c>
      <c r="AH121" s="22" t="str">
        <f t="shared" si="20"/>
        <v>42.9759375+0.0868957031249999j</v>
      </c>
      <c r="AJ121" s="22" t="str">
        <f t="shared" si="21"/>
        <v>0.847294806087242-0.00171319771509607j</v>
      </c>
      <c r="AN121" s="22">
        <f t="shared" si="22"/>
        <v>0.84729653809562322</v>
      </c>
      <c r="AO121" s="22">
        <v>55</v>
      </c>
      <c r="CB121" s="24"/>
      <c r="CC121" s="24"/>
      <c r="CD121" s="24"/>
    </row>
    <row r="122" spans="1:82" s="22" customFormat="1" x14ac:dyDescent="0.15">
      <c r="A122" s="22">
        <f t="shared" si="0"/>
        <v>0.1215</v>
      </c>
      <c r="B122" s="22">
        <f t="shared" si="1"/>
        <v>4.8150000000000004</v>
      </c>
      <c r="C122" s="22">
        <f t="shared" si="23"/>
        <v>2.799999999999998</v>
      </c>
      <c r="D122" s="22">
        <f t="shared" si="5"/>
        <v>7.8399999999999892</v>
      </c>
      <c r="E122" s="22">
        <f t="shared" si="6"/>
        <v>37.749599999999951</v>
      </c>
      <c r="F122" s="22">
        <f t="shared" si="7"/>
        <v>6.8399999999999892</v>
      </c>
      <c r="G122" s="22">
        <f>1</f>
        <v>1</v>
      </c>
      <c r="H122" s="22">
        <f t="shared" si="8"/>
        <v>1.6380629999999989</v>
      </c>
      <c r="I122" s="22" t="str">
        <f t="shared" si="9"/>
        <v>1+1.638063j</v>
      </c>
      <c r="K122" s="22" t="str">
        <f t="shared" si="10"/>
        <v>6.83999999999999+11.20435092j</v>
      </c>
      <c r="L122" s="22" t="str">
        <f t="shared" si="11"/>
        <v>44.5895999999999+11.20435092j</v>
      </c>
      <c r="N122" s="22" t="str">
        <f t="shared" si="12"/>
        <v>0.796321093430992-0.200097353997321j</v>
      </c>
      <c r="R122" s="22">
        <f t="shared" si="13"/>
        <v>0.82107626620178209</v>
      </c>
      <c r="T122" s="22">
        <f t="shared" si="2"/>
        <v>1.05</v>
      </c>
      <c r="U122" s="22">
        <f t="shared" si="3"/>
        <v>0.97</v>
      </c>
      <c r="W122" s="22">
        <f t="shared" si="24"/>
        <v>1E-3</v>
      </c>
      <c r="X122" s="22">
        <f t="shared" si="4"/>
        <v>4.8150000000000004</v>
      </c>
      <c r="Y122" s="22">
        <f t="shared" si="25"/>
        <v>2.799999999999998</v>
      </c>
      <c r="Z122" s="22">
        <f t="shared" si="14"/>
        <v>7.8399999999999892</v>
      </c>
      <c r="AA122" s="22">
        <f t="shared" si="15"/>
        <v>37.749599999999951</v>
      </c>
      <c r="AB122" s="22">
        <f t="shared" si="16"/>
        <v>6.8399999999999892</v>
      </c>
      <c r="AC122" s="22">
        <v>1</v>
      </c>
      <c r="AD122" s="22">
        <f t="shared" si="17"/>
        <v>1.3481999999999992E-2</v>
      </c>
      <c r="AE122" s="22" t="str">
        <f t="shared" si="18"/>
        <v>1+0.013482j</v>
      </c>
      <c r="AG122" s="22" t="str">
        <f t="shared" si="19"/>
        <v>6.83999999999999+0.0922168799999998j</v>
      </c>
      <c r="AH122" s="22" t="str">
        <f t="shared" si="20"/>
        <v>44.5895999999999+0.0922168799999998j</v>
      </c>
      <c r="AJ122" s="22" t="str">
        <f t="shared" si="21"/>
        <v>0.846597380112871-0.00175086946306276j</v>
      </c>
      <c r="AN122" s="22">
        <f t="shared" si="22"/>
        <v>0.84659919061965416</v>
      </c>
      <c r="AO122" s="22">
        <v>56</v>
      </c>
      <c r="CB122" s="24"/>
      <c r="CC122" s="24"/>
      <c r="CD122" s="24"/>
    </row>
    <row r="123" spans="1:82" s="22" customFormat="1" x14ac:dyDescent="0.15">
      <c r="A123" s="22">
        <f t="shared" si="0"/>
        <v>0.1215</v>
      </c>
      <c r="B123" s="22">
        <f t="shared" si="1"/>
        <v>4.8150000000000004</v>
      </c>
      <c r="C123" s="22">
        <f t="shared" si="23"/>
        <v>2.8499999999999979</v>
      </c>
      <c r="D123" s="22">
        <f t="shared" si="5"/>
        <v>8.1224999999999881</v>
      </c>
      <c r="E123" s="22">
        <f t="shared" si="6"/>
        <v>39.109837499999948</v>
      </c>
      <c r="F123" s="22">
        <f t="shared" si="7"/>
        <v>7.1224999999999881</v>
      </c>
      <c r="G123" s="22">
        <f>1</f>
        <v>1</v>
      </c>
      <c r="H123" s="22">
        <f t="shared" si="8"/>
        <v>1.6673141249999988</v>
      </c>
      <c r="I123" s="22" t="str">
        <f t="shared" si="9"/>
        <v>1+1.667314125j</v>
      </c>
      <c r="K123" s="22" t="str">
        <f t="shared" si="10"/>
        <v>7.12249999999999+11.8754448553125j</v>
      </c>
      <c r="L123" s="22" t="str">
        <f t="shared" si="11"/>
        <v>46.2323374999999+11.8754448553125j</v>
      </c>
      <c r="N123" s="22" t="str">
        <f t="shared" si="12"/>
        <v>0.793581190460107-0.203842811658014j</v>
      </c>
      <c r="R123" s="22">
        <f t="shared" si="13"/>
        <v>0.81934302811260018</v>
      </c>
      <c r="T123" s="22">
        <f t="shared" si="2"/>
        <v>1.05</v>
      </c>
      <c r="U123" s="22">
        <f t="shared" si="3"/>
        <v>0.97</v>
      </c>
      <c r="W123" s="22">
        <f t="shared" si="24"/>
        <v>1E-3</v>
      </c>
      <c r="X123" s="22">
        <f t="shared" si="4"/>
        <v>4.8150000000000004</v>
      </c>
      <c r="Y123" s="22">
        <f t="shared" si="25"/>
        <v>2.8499999999999979</v>
      </c>
      <c r="Z123" s="22">
        <f t="shared" si="14"/>
        <v>8.1224999999999881</v>
      </c>
      <c r="AA123" s="22">
        <f t="shared" si="15"/>
        <v>39.109837499999948</v>
      </c>
      <c r="AB123" s="22">
        <f t="shared" si="16"/>
        <v>7.1224999999999881</v>
      </c>
      <c r="AC123" s="22">
        <v>1</v>
      </c>
      <c r="AD123" s="22">
        <f t="shared" si="17"/>
        <v>1.372274999999999E-2</v>
      </c>
      <c r="AE123" s="22" t="str">
        <f t="shared" si="18"/>
        <v>1+0.01372275j</v>
      </c>
      <c r="AG123" s="22" t="str">
        <f t="shared" si="19"/>
        <v>7.12249999999999+0.0977402868749998j</v>
      </c>
      <c r="AH123" s="22" t="str">
        <f t="shared" si="20"/>
        <v>46.2323374999999+0.0977402868749998j</v>
      </c>
      <c r="AJ123" s="22" t="str">
        <f t="shared" si="21"/>
        <v>0.845937385293178-0.00178840541464819j</v>
      </c>
      <c r="AN123" s="22">
        <f t="shared" si="22"/>
        <v>0.84593927573472183</v>
      </c>
      <c r="AO123" s="22">
        <v>57</v>
      </c>
      <c r="CB123" s="24"/>
      <c r="CC123" s="24"/>
      <c r="CD123" s="24"/>
    </row>
    <row r="124" spans="1:82" s="22" customFormat="1" x14ac:dyDescent="0.15">
      <c r="A124" s="22">
        <f t="shared" si="0"/>
        <v>0.1215</v>
      </c>
      <c r="B124" s="22">
        <f t="shared" si="1"/>
        <v>4.8150000000000004</v>
      </c>
      <c r="C124" s="22">
        <f t="shared" si="23"/>
        <v>2.8999999999999977</v>
      </c>
      <c r="D124" s="22">
        <f t="shared" si="5"/>
        <v>8.4099999999999859</v>
      </c>
      <c r="E124" s="22">
        <f t="shared" si="6"/>
        <v>40.494149999999934</v>
      </c>
      <c r="F124" s="22">
        <f t="shared" si="7"/>
        <v>7.4099999999999859</v>
      </c>
      <c r="G124" s="22">
        <f>1</f>
        <v>1</v>
      </c>
      <c r="H124" s="22">
        <f t="shared" si="8"/>
        <v>1.6965652499999986</v>
      </c>
      <c r="I124" s="22" t="str">
        <f t="shared" si="9"/>
        <v>1+1.69656525j</v>
      </c>
      <c r="K124" s="22" t="str">
        <f t="shared" si="10"/>
        <v>7.40999999999999+12.5715485025j</v>
      </c>
      <c r="L124" s="22" t="str">
        <f t="shared" si="11"/>
        <v>47.9041499999999+12.5715485025j</v>
      </c>
      <c r="N124" s="22" t="str">
        <f t="shared" si="12"/>
        <v>0.790850118648661-0.20754382709639j</v>
      </c>
      <c r="R124" s="22">
        <f t="shared" si="13"/>
        <v>0.81762971468288581</v>
      </c>
      <c r="T124" s="22">
        <f t="shared" si="2"/>
        <v>1.05</v>
      </c>
      <c r="U124" s="22">
        <f t="shared" si="3"/>
        <v>0.97</v>
      </c>
      <c r="W124" s="22">
        <f t="shared" si="24"/>
        <v>1E-3</v>
      </c>
      <c r="X124" s="22">
        <f t="shared" si="4"/>
        <v>4.8150000000000004</v>
      </c>
      <c r="Y124" s="22">
        <f t="shared" si="25"/>
        <v>2.8999999999999977</v>
      </c>
      <c r="Z124" s="22">
        <f t="shared" si="14"/>
        <v>8.4099999999999859</v>
      </c>
      <c r="AA124" s="22">
        <f t="shared" si="15"/>
        <v>40.494149999999934</v>
      </c>
      <c r="AB124" s="22">
        <f t="shared" si="16"/>
        <v>7.4099999999999859</v>
      </c>
      <c r="AC124" s="22">
        <v>1</v>
      </c>
      <c r="AD124" s="22">
        <f t="shared" si="17"/>
        <v>1.396349999999999E-2</v>
      </c>
      <c r="AE124" s="22" t="str">
        <f t="shared" si="18"/>
        <v>1+0.0139635j</v>
      </c>
      <c r="AG124" s="22" t="str">
        <f t="shared" si="19"/>
        <v>7.40999999999999+0.103469535j</v>
      </c>
      <c r="AH124" s="22" t="str">
        <f t="shared" si="20"/>
        <v>47.9041499999999+0.103469535j</v>
      </c>
      <c r="AJ124" s="22" t="str">
        <f t="shared" si="21"/>
        <v>0.845312171991296-0.00182581378368637j</v>
      </c>
      <c r="AN124" s="22">
        <f t="shared" si="22"/>
        <v>0.84531414380253633</v>
      </c>
      <c r="AO124" s="22">
        <v>58</v>
      </c>
      <c r="CB124" s="24"/>
      <c r="CC124" s="24"/>
      <c r="CD124" s="24"/>
    </row>
    <row r="125" spans="1:82" s="22" customFormat="1" x14ac:dyDescent="0.15">
      <c r="A125" s="22">
        <f t="shared" si="0"/>
        <v>0.1215</v>
      </c>
      <c r="B125" s="22">
        <f t="shared" si="1"/>
        <v>4.8150000000000004</v>
      </c>
      <c r="C125" s="22">
        <f t="shared" si="23"/>
        <v>2.9499999999999975</v>
      </c>
      <c r="D125" s="22">
        <f t="shared" si="5"/>
        <v>8.7024999999999846</v>
      </c>
      <c r="E125" s="22">
        <f t="shared" si="6"/>
        <v>41.90253749999993</v>
      </c>
      <c r="F125" s="22">
        <f t="shared" si="7"/>
        <v>7.7024999999999846</v>
      </c>
      <c r="G125" s="22">
        <f>1</f>
        <v>1</v>
      </c>
      <c r="H125" s="22">
        <f t="shared" si="8"/>
        <v>1.7258163749999986</v>
      </c>
      <c r="I125" s="22" t="str">
        <f t="shared" si="9"/>
        <v>1+1.725816375j</v>
      </c>
      <c r="K125" s="22" t="str">
        <f t="shared" si="10"/>
        <v>7.70249999999998+13.2931006284375j</v>
      </c>
      <c r="L125" s="22" t="str">
        <f t="shared" si="11"/>
        <v>49.6050374999999+13.2931006284375j</v>
      </c>
      <c r="N125" s="22" t="str">
        <f t="shared" si="12"/>
        <v>0.788126005825383-0.211201096326665j</v>
      </c>
      <c r="R125" s="22">
        <f t="shared" si="13"/>
        <v>0.81593412978490887</v>
      </c>
      <c r="T125" s="22">
        <f t="shared" si="2"/>
        <v>1.05</v>
      </c>
      <c r="U125" s="22">
        <f t="shared" si="3"/>
        <v>0.97</v>
      </c>
      <c r="W125" s="22">
        <f t="shared" si="24"/>
        <v>1E-3</v>
      </c>
      <c r="X125" s="22">
        <f t="shared" si="4"/>
        <v>4.8150000000000004</v>
      </c>
      <c r="Y125" s="22">
        <f t="shared" si="25"/>
        <v>2.9499999999999975</v>
      </c>
      <c r="Z125" s="22">
        <f t="shared" si="14"/>
        <v>8.7024999999999846</v>
      </c>
      <c r="AA125" s="22">
        <f t="shared" si="15"/>
        <v>41.90253749999993</v>
      </c>
      <c r="AB125" s="22">
        <f t="shared" si="16"/>
        <v>7.7024999999999846</v>
      </c>
      <c r="AC125" s="22">
        <v>1</v>
      </c>
      <c r="AD125" s="22">
        <f t="shared" si="17"/>
        <v>1.4204249999999989E-2</v>
      </c>
      <c r="AE125" s="22" t="str">
        <f t="shared" si="18"/>
        <v>1+0.01420425j</v>
      </c>
      <c r="AG125" s="22" t="str">
        <f t="shared" si="19"/>
        <v>7.70249999999998+0.109408235625j</v>
      </c>
      <c r="AH125" s="22" t="str">
        <f t="shared" si="20"/>
        <v>49.6050374999999+0.109408235625j</v>
      </c>
      <c r="AJ125" s="22" t="str">
        <f t="shared" si="21"/>
        <v>0.844719322332616-0.00186310212253659j</v>
      </c>
      <c r="AN125" s="22">
        <f t="shared" si="22"/>
        <v>0.8447213769472115</v>
      </c>
      <c r="AO125" s="22">
        <v>59</v>
      </c>
      <c r="CB125" s="24"/>
      <c r="CC125" s="24"/>
      <c r="CD125" s="24"/>
    </row>
    <row r="126" spans="1:82" s="22" customFormat="1" x14ac:dyDescent="0.15">
      <c r="A126" s="22">
        <f t="shared" si="0"/>
        <v>0.1215</v>
      </c>
      <c r="B126" s="22">
        <f t="shared" si="1"/>
        <v>4.8150000000000004</v>
      </c>
      <c r="C126" s="22">
        <f t="shared" si="23"/>
        <v>2.9999999999999973</v>
      </c>
      <c r="D126" s="22">
        <f t="shared" si="5"/>
        <v>8.999999999999984</v>
      </c>
      <c r="E126" s="22">
        <f t="shared" si="6"/>
        <v>43.33499999999993</v>
      </c>
      <c r="F126" s="22">
        <f t="shared" si="7"/>
        <v>7.999999999999984</v>
      </c>
      <c r="G126" s="22">
        <f>1</f>
        <v>1</v>
      </c>
      <c r="H126" s="22">
        <f t="shared" si="8"/>
        <v>1.7550674999999984</v>
      </c>
      <c r="I126" s="22" t="str">
        <f t="shared" si="9"/>
        <v>1+1.7550675j</v>
      </c>
      <c r="K126" s="22" t="str">
        <f t="shared" si="10"/>
        <v>7.99999999999998+14.04054j</v>
      </c>
      <c r="L126" s="22" t="str">
        <f t="shared" si="11"/>
        <v>51.3349999999999+14.04054j</v>
      </c>
      <c r="N126" s="22" t="str">
        <f t="shared" si="12"/>
        <v>0.785407185179446-0.214815252747627j</v>
      </c>
      <c r="R126" s="22">
        <f t="shared" si="13"/>
        <v>0.81425428420397483</v>
      </c>
      <c r="T126" s="22">
        <f t="shared" si="2"/>
        <v>1.05</v>
      </c>
      <c r="U126" s="22">
        <f t="shared" si="3"/>
        <v>0.97</v>
      </c>
      <c r="W126" s="22">
        <f t="shared" si="24"/>
        <v>1E-3</v>
      </c>
      <c r="X126" s="22">
        <f t="shared" si="4"/>
        <v>4.8150000000000004</v>
      </c>
      <c r="Y126" s="22">
        <f t="shared" si="25"/>
        <v>2.9999999999999973</v>
      </c>
      <c r="Z126" s="22">
        <f t="shared" si="14"/>
        <v>8.999999999999984</v>
      </c>
      <c r="AA126" s="22">
        <f t="shared" si="15"/>
        <v>43.33499999999993</v>
      </c>
      <c r="AB126" s="22">
        <f t="shared" si="16"/>
        <v>7.999999999999984</v>
      </c>
      <c r="AC126" s="22">
        <v>1</v>
      </c>
      <c r="AD126" s="22">
        <f t="shared" si="17"/>
        <v>1.4444999999999987E-2</v>
      </c>
      <c r="AE126" s="22" t="str">
        <f t="shared" si="18"/>
        <v>1+0.014445j</v>
      </c>
      <c r="AG126" s="22" t="str">
        <f t="shared" si="19"/>
        <v>7.99999999999998+0.11556j</v>
      </c>
      <c r="AH126" s="22" t="str">
        <f t="shared" si="20"/>
        <v>51.3349999999999+0.11556j</v>
      </c>
      <c r="AJ126" s="22" t="str">
        <f t="shared" si="21"/>
        <v>0.844156626160418-0.00190027738811918j</v>
      </c>
      <c r="AN126" s="22">
        <f t="shared" si="22"/>
        <v>0.8441587650108785</v>
      </c>
      <c r="AO126" s="22">
        <v>60</v>
      </c>
      <c r="CB126" s="24"/>
      <c r="CC126" s="24"/>
      <c r="CD126" s="24"/>
    </row>
    <row r="127" spans="1:82" s="22" customFormat="1" x14ac:dyDescent="0.15">
      <c r="A127" s="22">
        <f t="shared" si="0"/>
        <v>0.1215</v>
      </c>
      <c r="B127" s="22">
        <f t="shared" si="1"/>
        <v>4.8150000000000004</v>
      </c>
      <c r="C127" s="22">
        <f t="shared" si="23"/>
        <v>3.0499999999999972</v>
      </c>
      <c r="D127" s="22">
        <f t="shared" si="5"/>
        <v>9.3024999999999824</v>
      </c>
      <c r="E127" s="22">
        <f t="shared" si="6"/>
        <v>44.791537499999919</v>
      </c>
      <c r="F127" s="22">
        <f t="shared" si="7"/>
        <v>8.3024999999999824</v>
      </c>
      <c r="G127" s="22">
        <f>1</f>
        <v>1</v>
      </c>
      <c r="H127" s="22">
        <f t="shared" si="8"/>
        <v>1.7843186249999985</v>
      </c>
      <c r="I127" s="22" t="str">
        <f t="shared" si="9"/>
        <v>1+1.784318625j</v>
      </c>
      <c r="K127" s="22" t="str">
        <f t="shared" si="10"/>
        <v>8.30249999999998+14.8143053840625j</v>
      </c>
      <c r="L127" s="22" t="str">
        <f t="shared" si="11"/>
        <v>53.0940374999999+14.8143053840625j</v>
      </c>
      <c r="N127" s="22" t="str">
        <f t="shared" si="12"/>
        <v>0.782692174291425-0.218386874263783j</v>
      </c>
      <c r="R127" s="22">
        <f t="shared" si="13"/>
        <v>0.81258837460779854</v>
      </c>
      <c r="T127" s="22">
        <f t="shared" si="2"/>
        <v>1.05</v>
      </c>
      <c r="U127" s="22">
        <f t="shared" si="3"/>
        <v>0.97</v>
      </c>
      <c r="W127" s="22">
        <f t="shared" si="24"/>
        <v>1E-3</v>
      </c>
      <c r="X127" s="22">
        <f t="shared" si="4"/>
        <v>4.8150000000000004</v>
      </c>
      <c r="Y127" s="22">
        <f t="shared" si="25"/>
        <v>3.0499999999999972</v>
      </c>
      <c r="Z127" s="22">
        <f t="shared" si="14"/>
        <v>9.3024999999999824</v>
      </c>
      <c r="AA127" s="22">
        <f t="shared" si="15"/>
        <v>44.791537499999919</v>
      </c>
      <c r="AB127" s="22">
        <f t="shared" si="16"/>
        <v>8.3024999999999824</v>
      </c>
      <c r="AC127" s="22">
        <v>1</v>
      </c>
      <c r="AD127" s="22">
        <f t="shared" si="17"/>
        <v>1.4685749999999989E-2</v>
      </c>
      <c r="AE127" s="22" t="str">
        <f t="shared" si="18"/>
        <v>1+0.01468575j</v>
      </c>
      <c r="AG127" s="22" t="str">
        <f t="shared" si="19"/>
        <v>8.30249999999998+0.121928439375j</v>
      </c>
      <c r="AH127" s="22" t="str">
        <f t="shared" si="20"/>
        <v>53.0940374999999+0.121928439375j</v>
      </c>
      <c r="AJ127" s="22" t="str">
        <f t="shared" si="21"/>
        <v>0.843622059867375-0.00193734600014083j</v>
      </c>
      <c r="AN127" s="22">
        <f t="shared" si="22"/>
        <v>0.84362428438517423</v>
      </c>
      <c r="AO127" s="22">
        <v>61</v>
      </c>
      <c r="CB127" s="24"/>
      <c r="CC127" s="24"/>
      <c r="CD127" s="24"/>
    </row>
    <row r="128" spans="1:82" s="22" customFormat="1" x14ac:dyDescent="0.15">
      <c r="A128" s="22">
        <f t="shared" si="0"/>
        <v>0.1215</v>
      </c>
      <c r="B128" s="22">
        <f t="shared" si="1"/>
        <v>4.8150000000000004</v>
      </c>
      <c r="C128" s="22">
        <f t="shared" si="23"/>
        <v>3.099999999999997</v>
      </c>
      <c r="D128" s="22">
        <f t="shared" si="5"/>
        <v>9.6099999999999817</v>
      </c>
      <c r="E128" s="22">
        <f t="shared" si="6"/>
        <v>46.272149999999918</v>
      </c>
      <c r="F128" s="22">
        <f t="shared" si="7"/>
        <v>8.6099999999999817</v>
      </c>
      <c r="G128" s="22">
        <f>1</f>
        <v>1</v>
      </c>
      <c r="H128" s="22">
        <f t="shared" si="8"/>
        <v>1.8135697499999983</v>
      </c>
      <c r="I128" s="22" t="str">
        <f t="shared" si="9"/>
        <v>1+1.81356975j</v>
      </c>
      <c r="K128" s="22" t="str">
        <f t="shared" si="10"/>
        <v>8.60999999999998+15.6148355475j</v>
      </c>
      <c r="L128" s="22" t="str">
        <f t="shared" si="11"/>
        <v>54.8821499999999+15.6148355475j</v>
      </c>
      <c r="N128" s="22" t="str">
        <f t="shared" si="12"/>
        <v>0.77997965659281-0.221916489570694j</v>
      </c>
      <c r="R128" s="22">
        <f t="shared" si="13"/>
        <v>0.81093476497312511</v>
      </c>
      <c r="T128" s="22">
        <f t="shared" si="2"/>
        <v>1.05</v>
      </c>
      <c r="U128" s="22">
        <f t="shared" si="3"/>
        <v>0.97</v>
      </c>
      <c r="W128" s="22">
        <f t="shared" si="24"/>
        <v>1E-3</v>
      </c>
      <c r="X128" s="22">
        <f t="shared" si="4"/>
        <v>4.8150000000000004</v>
      </c>
      <c r="Y128" s="22">
        <f t="shared" si="25"/>
        <v>3.099999999999997</v>
      </c>
      <c r="Z128" s="22">
        <f t="shared" si="14"/>
        <v>9.6099999999999817</v>
      </c>
      <c r="AA128" s="22">
        <f t="shared" si="15"/>
        <v>46.272149999999918</v>
      </c>
      <c r="AB128" s="22">
        <f t="shared" si="16"/>
        <v>8.6099999999999817</v>
      </c>
      <c r="AC128" s="22">
        <v>1</v>
      </c>
      <c r="AD128" s="22">
        <f t="shared" si="17"/>
        <v>1.4926499999999987E-2</v>
      </c>
      <c r="AE128" s="22" t="str">
        <f t="shared" si="18"/>
        <v>1+0.0149265j</v>
      </c>
      <c r="AG128" s="22" t="str">
        <f t="shared" si="19"/>
        <v>8.60999999999998+0.128517165j</v>
      </c>
      <c r="AH128" s="22" t="str">
        <f t="shared" si="20"/>
        <v>54.8821499999999+0.128517165j</v>
      </c>
      <c r="AJ128" s="22" t="str">
        <f t="shared" si="21"/>
        <v>0.843113767714561-0.00197431389257061j</v>
      </c>
      <c r="AN128" s="22">
        <f t="shared" si="22"/>
        <v>0.84311607933023625</v>
      </c>
      <c r="AO128" s="22">
        <v>62</v>
      </c>
      <c r="CB128" s="24"/>
      <c r="CC128" s="24"/>
      <c r="CD128" s="24"/>
    </row>
    <row r="129" spans="1:82" s="22" customFormat="1" x14ac:dyDescent="0.15">
      <c r="A129" s="22">
        <f t="shared" si="0"/>
        <v>0.1215</v>
      </c>
      <c r="B129" s="22">
        <f t="shared" si="1"/>
        <v>4.8150000000000004</v>
      </c>
      <c r="C129" s="22">
        <f t="shared" si="23"/>
        <v>3.1499999999999968</v>
      </c>
      <c r="D129" s="22">
        <f t="shared" si="5"/>
        <v>9.9224999999999799</v>
      </c>
      <c r="E129" s="22">
        <f t="shared" si="6"/>
        <v>47.776837499999907</v>
      </c>
      <c r="F129" s="22">
        <f t="shared" si="7"/>
        <v>8.9224999999999799</v>
      </c>
      <c r="G129" s="22">
        <f>1</f>
        <v>1</v>
      </c>
      <c r="H129" s="22">
        <f t="shared" si="8"/>
        <v>1.8428208749999981</v>
      </c>
      <c r="I129" s="22" t="str">
        <f t="shared" si="9"/>
        <v>1+1.842820875j</v>
      </c>
      <c r="K129" s="22" t="str">
        <f t="shared" si="10"/>
        <v>8.92249999999998+16.4425692571875j</v>
      </c>
      <c r="L129" s="22" t="str">
        <f t="shared" si="11"/>
        <v>56.6993374999999+16.4425692571875j</v>
      </c>
      <c r="N129" s="22" t="str">
        <f t="shared" si="12"/>
        <v>0.777268464933649-0.225404583714922j</v>
      </c>
      <c r="R129" s="22">
        <f t="shared" si="13"/>
        <v>0.809291970144279</v>
      </c>
      <c r="T129" s="22">
        <f t="shared" si="2"/>
        <v>1.05</v>
      </c>
      <c r="U129" s="22">
        <f t="shared" si="3"/>
        <v>0.97</v>
      </c>
      <c r="W129" s="22">
        <f t="shared" si="24"/>
        <v>1E-3</v>
      </c>
      <c r="X129" s="22">
        <f t="shared" si="4"/>
        <v>4.8150000000000004</v>
      </c>
      <c r="Y129" s="22">
        <f t="shared" si="25"/>
        <v>3.1499999999999968</v>
      </c>
      <c r="Z129" s="22">
        <f t="shared" si="14"/>
        <v>9.9224999999999799</v>
      </c>
      <c r="AA129" s="22">
        <f t="shared" si="15"/>
        <v>47.776837499999907</v>
      </c>
      <c r="AB129" s="22">
        <f t="shared" si="16"/>
        <v>8.9224999999999799</v>
      </c>
      <c r="AC129" s="22">
        <v>1</v>
      </c>
      <c r="AD129" s="22">
        <f t="shared" si="17"/>
        <v>1.5167249999999985E-2</v>
      </c>
      <c r="AE129" s="22" t="str">
        <f t="shared" si="18"/>
        <v>1+0.01516725j</v>
      </c>
      <c r="AG129" s="22" t="str">
        <f t="shared" si="19"/>
        <v>8.92249999999998+0.135329788125j</v>
      </c>
      <c r="AH129" s="22" t="str">
        <f t="shared" si="20"/>
        <v>56.6993374999999+0.135329788125j</v>
      </c>
      <c r="AJ129" s="22" t="str">
        <f t="shared" si="21"/>
        <v>0.842630045307832-0.00201118655926567j</v>
      </c>
      <c r="AN129" s="22">
        <f t="shared" si="22"/>
        <v>0.84263244545107274</v>
      </c>
      <c r="AO129" s="22">
        <v>63</v>
      </c>
      <c r="CB129" s="24"/>
      <c r="CC129" s="24"/>
      <c r="CD129" s="24"/>
    </row>
    <row r="130" spans="1:82" s="22" customFormat="1" x14ac:dyDescent="0.15">
      <c r="A130" s="22">
        <f t="shared" si="0"/>
        <v>0.1215</v>
      </c>
      <c r="B130" s="22">
        <f t="shared" si="1"/>
        <v>4.8150000000000004</v>
      </c>
      <c r="C130" s="22">
        <f t="shared" si="23"/>
        <v>3.1999999999999966</v>
      </c>
      <c r="D130" s="22">
        <f t="shared" si="5"/>
        <v>10.239999999999979</v>
      </c>
      <c r="E130" s="22">
        <f t="shared" si="6"/>
        <v>49.305599999999899</v>
      </c>
      <c r="F130" s="22">
        <f t="shared" si="7"/>
        <v>9.2399999999999789</v>
      </c>
      <c r="G130" s="22">
        <f>1</f>
        <v>1</v>
      </c>
      <c r="H130" s="22">
        <f t="shared" si="8"/>
        <v>1.8720719999999982</v>
      </c>
      <c r="I130" s="22" t="str">
        <f t="shared" si="9"/>
        <v>1+1.872072j</v>
      </c>
      <c r="K130" s="22" t="str">
        <f t="shared" si="10"/>
        <v>9.23999999999998+17.29794528j</v>
      </c>
      <c r="L130" s="22" t="str">
        <f t="shared" si="11"/>
        <v>58.5455999999999+17.29794528j</v>
      </c>
      <c r="N130" s="22" t="str">
        <f t="shared" si="12"/>
        <v>0.774557566984981-0.228851603022535j</v>
      </c>
      <c r="R130" s="22">
        <f t="shared" si="13"/>
        <v>0.80765864124621212</v>
      </c>
      <c r="T130" s="22">
        <f t="shared" si="2"/>
        <v>1.05</v>
      </c>
      <c r="U130" s="22">
        <f t="shared" si="3"/>
        <v>0.97</v>
      </c>
      <c r="W130" s="22">
        <f t="shared" si="24"/>
        <v>1E-3</v>
      </c>
      <c r="X130" s="22">
        <f t="shared" si="4"/>
        <v>4.8150000000000004</v>
      </c>
      <c r="Y130" s="22">
        <f t="shared" si="25"/>
        <v>3.1999999999999966</v>
      </c>
      <c r="Z130" s="22">
        <f t="shared" si="14"/>
        <v>10.239999999999979</v>
      </c>
      <c r="AA130" s="22">
        <f t="shared" si="15"/>
        <v>49.305599999999899</v>
      </c>
      <c r="AB130" s="22">
        <f t="shared" si="16"/>
        <v>9.2399999999999789</v>
      </c>
      <c r="AC130" s="22">
        <v>1</v>
      </c>
      <c r="AD130" s="22">
        <f t="shared" si="17"/>
        <v>1.5407999999999986E-2</v>
      </c>
      <c r="AE130" s="22" t="str">
        <f t="shared" si="18"/>
        <v>1+0.015408j</v>
      </c>
      <c r="AG130" s="22" t="str">
        <f t="shared" si="19"/>
        <v>9.23999999999998+0.14236992j</v>
      </c>
      <c r="AH130" s="22" t="str">
        <f t="shared" si="20"/>
        <v>58.5455999999999+0.14236992j</v>
      </c>
      <c r="AJ130" s="22" t="str">
        <f t="shared" si="21"/>
        <v>0.84216932495019-0.00204796909451116j</v>
      </c>
      <c r="AN130" s="22">
        <f t="shared" si="22"/>
        <v>0.84217181504991656</v>
      </c>
      <c r="AO130" s="22">
        <v>64</v>
      </c>
      <c r="CB130" s="24"/>
      <c r="CC130" s="24"/>
      <c r="CD130" s="24"/>
    </row>
    <row r="131" spans="1:82" s="22" customFormat="1" x14ac:dyDescent="0.15">
      <c r="A131" s="22">
        <f t="shared" si="0"/>
        <v>0.1215</v>
      </c>
      <c r="B131" s="22">
        <f t="shared" si="1"/>
        <v>4.8150000000000004</v>
      </c>
      <c r="C131" s="22">
        <f t="shared" si="23"/>
        <v>3.2499999999999964</v>
      </c>
      <c r="D131" s="22">
        <f t="shared" ref="D131:D137" si="26">C131^2</f>
        <v>10.562499999999977</v>
      </c>
      <c r="E131" s="22">
        <f t="shared" ref="E131:E137" si="27">B131*D131</f>
        <v>50.858437499999894</v>
      </c>
      <c r="F131" s="22">
        <f t="shared" ref="F131:F137" si="28">C131^2-1</f>
        <v>9.5624999999999769</v>
      </c>
      <c r="G131" s="22">
        <f>1</f>
        <v>1</v>
      </c>
      <c r="H131" s="22">
        <f t="shared" ref="H131:H137" si="29">C131*B131*A131</f>
        <v>1.901323124999998</v>
      </c>
      <c r="I131" s="22" t="str">
        <f t="shared" ref="I131:I137" si="30">COMPLEX(G131,H131,"j")</f>
        <v>1+1.901323125j</v>
      </c>
      <c r="K131" s="22" t="str">
        <f t="shared" ref="K131:K137" si="31">IMPRODUCT(I131,F131)</f>
        <v>9.56249999999998+18.1814023828125j</v>
      </c>
      <c r="L131" s="22" t="str">
        <f t="shared" ref="L131:L137" si="32">IMSUM(K131,E131)</f>
        <v>60.4209374999999+18.1814023828125j</v>
      </c>
      <c r="N131" s="22" t="str">
        <f t="shared" ref="N131:N137" si="33">IMDIV(E131,L131)</f>
        <v>0.771846052242215-0.232257959476399j</v>
      </c>
      <c r="R131" s="22">
        <f t="shared" ref="R131:R137" si="34">IMABS(N131)</f>
        <v>0.80603355271479415</v>
      </c>
      <c r="T131" s="22">
        <f t="shared" si="2"/>
        <v>1.05</v>
      </c>
      <c r="U131" s="22">
        <f t="shared" si="3"/>
        <v>0.97</v>
      </c>
      <c r="W131" s="22">
        <f t="shared" si="24"/>
        <v>1E-3</v>
      </c>
      <c r="X131" s="22">
        <f t="shared" si="4"/>
        <v>4.8150000000000004</v>
      </c>
      <c r="Y131" s="22">
        <f t="shared" si="25"/>
        <v>3.2499999999999964</v>
      </c>
      <c r="Z131" s="22">
        <f t="shared" ref="Z131:Z137" si="35">Y131^2</f>
        <v>10.562499999999977</v>
      </c>
      <c r="AA131" s="22">
        <f t="shared" ref="AA131:AA137" si="36">X131*Z131</f>
        <v>50.858437499999894</v>
      </c>
      <c r="AB131" s="22">
        <f t="shared" ref="AB131:AB137" si="37">Y131^2-1</f>
        <v>9.5624999999999769</v>
      </c>
      <c r="AC131" s="22">
        <v>1</v>
      </c>
      <c r="AD131" s="22">
        <f t="shared" ref="AD131:AD137" si="38">Y131*X131*W131</f>
        <v>1.5648749999999986E-2</v>
      </c>
      <c r="AE131" s="22" t="str">
        <f t="shared" ref="AE131:AE137" si="39">COMPLEX(AC131,AD131,"j")</f>
        <v>1+0.01564875j</v>
      </c>
      <c r="AG131" s="22" t="str">
        <f t="shared" ref="AG131:AG137" si="40">IMPRODUCT(AE131,AB131)</f>
        <v>9.56249999999998+0.149641171875j</v>
      </c>
      <c r="AH131" s="22" t="str">
        <f t="shared" ref="AH131:AH137" si="41">IMSUM(AG131,AA131)</f>
        <v>60.4209374999999+0.149641171875j</v>
      </c>
      <c r="AJ131" s="22" t="str">
        <f t="shared" ref="AJ131:AJ137" si="42">IMDIV(AA131,AH131)</f>
        <v>0.84173016262951-0.00208466622912653j</v>
      </c>
      <c r="AN131" s="22">
        <f t="shared" ref="AN131:AN137" si="43">IMABS(AJ131)</f>
        <v>0.84173274411394272</v>
      </c>
      <c r="AO131" s="22">
        <v>65</v>
      </c>
      <c r="CB131" s="24"/>
      <c r="CC131" s="24"/>
      <c r="CD131" s="24"/>
    </row>
    <row r="132" spans="1:82" s="22" customFormat="1" x14ac:dyDescent="0.15">
      <c r="A132" s="22">
        <f t="shared" si="0"/>
        <v>0.1215</v>
      </c>
      <c r="B132" s="22">
        <f t="shared" si="1"/>
        <v>4.8150000000000004</v>
      </c>
      <c r="C132" s="22">
        <f t="shared" ref="C132:C137" si="44">C131+0.05</f>
        <v>3.2999999999999963</v>
      </c>
      <c r="D132" s="22">
        <f t="shared" si="26"/>
        <v>10.889999999999976</v>
      </c>
      <c r="E132" s="22">
        <f t="shared" si="27"/>
        <v>52.435349999999886</v>
      </c>
      <c r="F132" s="22">
        <f t="shared" si="28"/>
        <v>9.8899999999999757</v>
      </c>
      <c r="G132" s="22">
        <f>1</f>
        <v>1</v>
      </c>
      <c r="H132" s="22">
        <f t="shared" si="29"/>
        <v>1.930574249999998</v>
      </c>
      <c r="I132" s="22" t="str">
        <f t="shared" si="30"/>
        <v>1+1.93057425j</v>
      </c>
      <c r="K132" s="22" t="str">
        <f t="shared" si="31"/>
        <v>9.88999999999998+19.0933793325j</v>
      </c>
      <c r="L132" s="22" t="str">
        <f t="shared" si="32"/>
        <v>62.3253499999999+19.0933793325j</v>
      </c>
      <c r="N132" s="22" t="str">
        <f t="shared" si="33"/>
        <v>0.769133120428841-0.235624034610913j</v>
      </c>
      <c r="R132" s="22">
        <f t="shared" si="34"/>
        <v>0.80441559074083768</v>
      </c>
      <c r="T132" s="22">
        <f t="shared" si="2"/>
        <v>1.05</v>
      </c>
      <c r="U132" s="22">
        <f t="shared" si="3"/>
        <v>0.97</v>
      </c>
      <c r="W132" s="22">
        <f t="shared" ref="W132:W137" si="45">W131</f>
        <v>1E-3</v>
      </c>
      <c r="X132" s="22">
        <f t="shared" si="4"/>
        <v>4.8150000000000004</v>
      </c>
      <c r="Y132" s="22">
        <f t="shared" ref="Y132:Y137" si="46">Y131+0.05</f>
        <v>3.2999999999999963</v>
      </c>
      <c r="Z132" s="22">
        <f t="shared" si="35"/>
        <v>10.889999999999976</v>
      </c>
      <c r="AA132" s="22">
        <f t="shared" si="36"/>
        <v>52.435349999999886</v>
      </c>
      <c r="AB132" s="22">
        <f t="shared" si="37"/>
        <v>9.8899999999999757</v>
      </c>
      <c r="AC132" s="22">
        <v>1</v>
      </c>
      <c r="AD132" s="22">
        <f t="shared" si="38"/>
        <v>1.5889499999999983E-2</v>
      </c>
      <c r="AE132" s="22" t="str">
        <f t="shared" si="39"/>
        <v>1+0.0158895j</v>
      </c>
      <c r="AG132" s="22" t="str">
        <f t="shared" si="40"/>
        <v>9.88999999999998+0.157147155j</v>
      </c>
      <c r="AH132" s="22" t="str">
        <f t="shared" si="41"/>
        <v>62.3253499999999+0.157147155j</v>
      </c>
      <c r="AJ132" s="22" t="str">
        <f t="shared" si="42"/>
        <v>0.841311226435338-0.00212128236269631j</v>
      </c>
      <c r="AN132" s="22">
        <f t="shared" si="43"/>
        <v>0.84131390073206014</v>
      </c>
      <c r="AO132" s="22">
        <v>66</v>
      </c>
      <c r="CB132" s="24"/>
      <c r="CC132" s="24"/>
      <c r="CD132" s="24"/>
    </row>
    <row r="133" spans="1:82" s="22" customFormat="1" x14ac:dyDescent="0.15">
      <c r="A133" s="22">
        <f t="shared" si="0"/>
        <v>0.1215</v>
      </c>
      <c r="B133" s="22">
        <f t="shared" si="1"/>
        <v>4.8150000000000004</v>
      </c>
      <c r="C133" s="22">
        <f t="shared" si="44"/>
        <v>3.3499999999999961</v>
      </c>
      <c r="D133" s="22">
        <f t="shared" si="26"/>
        <v>11.222499999999973</v>
      </c>
      <c r="E133" s="22">
        <f t="shared" si="27"/>
        <v>54.036337499999874</v>
      </c>
      <c r="F133" s="22">
        <f t="shared" si="28"/>
        <v>10.222499999999973</v>
      </c>
      <c r="G133" s="22">
        <f>1</f>
        <v>1</v>
      </c>
      <c r="H133" s="22">
        <f t="shared" si="29"/>
        <v>1.9598253749999979</v>
      </c>
      <c r="I133" s="22" t="str">
        <f t="shared" si="30"/>
        <v>1+1.959825375j</v>
      </c>
      <c r="K133" s="22" t="str">
        <f t="shared" si="31"/>
        <v>10.2225+20.0343148959374j</v>
      </c>
      <c r="L133" s="22" t="str">
        <f t="shared" si="32"/>
        <v>64.2588374999999+20.0343148959374j</v>
      </c>
      <c r="N133" s="22" t="str">
        <f t="shared" si="33"/>
        <v>0.766418071127918-0.238950182983215j</v>
      </c>
      <c r="R133" s="22">
        <f t="shared" si="34"/>
        <v>0.80280374295287782</v>
      </c>
      <c r="T133" s="22">
        <f t="shared" si="2"/>
        <v>1.05</v>
      </c>
      <c r="U133" s="22">
        <f t="shared" si="3"/>
        <v>0.97</v>
      </c>
      <c r="W133" s="22">
        <f t="shared" si="45"/>
        <v>1E-3</v>
      </c>
      <c r="X133" s="22">
        <f t="shared" si="4"/>
        <v>4.8150000000000004</v>
      </c>
      <c r="Y133" s="22">
        <f t="shared" si="46"/>
        <v>3.3499999999999961</v>
      </c>
      <c r="Z133" s="22">
        <f t="shared" si="35"/>
        <v>11.222499999999973</v>
      </c>
      <c r="AA133" s="22">
        <f t="shared" si="36"/>
        <v>54.036337499999874</v>
      </c>
      <c r="AB133" s="22">
        <f t="shared" si="37"/>
        <v>10.222499999999973</v>
      </c>
      <c r="AC133" s="22">
        <v>1</v>
      </c>
      <c r="AD133" s="22">
        <f t="shared" si="38"/>
        <v>1.6130249999999981E-2</v>
      </c>
      <c r="AE133" s="22" t="str">
        <f t="shared" si="39"/>
        <v>1+0.01613025j</v>
      </c>
      <c r="AG133" s="22" t="str">
        <f t="shared" si="40"/>
        <v>10.2225+0.164891480625j</v>
      </c>
      <c r="AH133" s="22" t="str">
        <f t="shared" si="41"/>
        <v>64.2588374999999+0.164891480625j</v>
      </c>
      <c r="AJ133" s="22" t="str">
        <f t="shared" si="42"/>
        <v>0.840911286227403-0.00215782159240447j</v>
      </c>
      <c r="AN133" s="22">
        <f t="shared" si="43"/>
        <v>0.8409140547634163</v>
      </c>
      <c r="AO133" s="22">
        <v>67</v>
      </c>
      <c r="CB133" s="24"/>
      <c r="CC133" s="24"/>
      <c r="CD133" s="24"/>
    </row>
    <row r="134" spans="1:82" s="22" customFormat="1" x14ac:dyDescent="0.15">
      <c r="A134" s="22">
        <f t="shared" si="0"/>
        <v>0.1215</v>
      </c>
      <c r="B134" s="22">
        <f t="shared" si="1"/>
        <v>4.8150000000000004</v>
      </c>
      <c r="C134" s="22">
        <f t="shared" si="44"/>
        <v>3.3999999999999959</v>
      </c>
      <c r="D134" s="22">
        <f t="shared" si="26"/>
        <v>11.559999999999972</v>
      </c>
      <c r="E134" s="22">
        <f t="shared" si="27"/>
        <v>55.661399999999873</v>
      </c>
      <c r="F134" s="22">
        <f t="shared" si="28"/>
        <v>10.559999999999972</v>
      </c>
      <c r="G134" s="22">
        <f>1</f>
        <v>1</v>
      </c>
      <c r="H134" s="22">
        <f t="shared" si="29"/>
        <v>1.9890764999999977</v>
      </c>
      <c r="I134" s="22" t="str">
        <f t="shared" si="30"/>
        <v>1+1.9890765j</v>
      </c>
      <c r="K134" s="22" t="str">
        <f t="shared" si="31"/>
        <v>10.56+21.0046478399999j</v>
      </c>
      <c r="L134" s="22" t="str">
        <f t="shared" si="32"/>
        <v>66.2213999999999+21.0046478399999j</v>
      </c>
      <c r="N134" s="22" t="str">
        <f t="shared" si="33"/>
        <v>0.763700294492523-0.242236735271675j</v>
      </c>
      <c r="R134" s="22">
        <f t="shared" si="34"/>
        <v>0.80119708918782639</v>
      </c>
      <c r="T134" s="22">
        <f t="shared" si="2"/>
        <v>1.05</v>
      </c>
      <c r="U134" s="22">
        <f t="shared" si="3"/>
        <v>0.97</v>
      </c>
      <c r="W134" s="22">
        <f t="shared" si="45"/>
        <v>1E-3</v>
      </c>
      <c r="X134" s="22">
        <f t="shared" si="4"/>
        <v>4.8150000000000004</v>
      </c>
      <c r="Y134" s="22">
        <f t="shared" si="46"/>
        <v>3.3999999999999959</v>
      </c>
      <c r="Z134" s="22">
        <f t="shared" si="35"/>
        <v>11.559999999999972</v>
      </c>
      <c r="AA134" s="22">
        <f t="shared" si="36"/>
        <v>55.661399999999873</v>
      </c>
      <c r="AB134" s="22">
        <f t="shared" si="37"/>
        <v>10.559999999999972</v>
      </c>
      <c r="AC134" s="22">
        <v>1</v>
      </c>
      <c r="AD134" s="22">
        <f t="shared" si="38"/>
        <v>1.6370999999999983E-2</v>
      </c>
      <c r="AE134" s="22" t="str">
        <f t="shared" si="39"/>
        <v>1+0.016371j</v>
      </c>
      <c r="AG134" s="22" t="str">
        <f t="shared" si="40"/>
        <v>10.56+0.17287776j</v>
      </c>
      <c r="AH134" s="22" t="str">
        <f t="shared" si="41"/>
        <v>66.2213999999999+0.17287776j</v>
      </c>
      <c r="AJ134" s="22" t="str">
        <f t="shared" si="42"/>
        <v>0.84052920440297-0.00219428773888453j</v>
      </c>
      <c r="AN134" s="22">
        <f t="shared" si="43"/>
        <v>0.84053206860474439</v>
      </c>
      <c r="AO134" s="22">
        <v>68</v>
      </c>
      <c r="CB134" s="24"/>
      <c r="CC134" s="24"/>
      <c r="CD134" s="24"/>
    </row>
    <row r="135" spans="1:82" s="22" customFormat="1" x14ac:dyDescent="0.15">
      <c r="A135" s="22">
        <f t="shared" si="0"/>
        <v>0.1215</v>
      </c>
      <c r="B135" s="22">
        <f t="shared" si="1"/>
        <v>4.8150000000000004</v>
      </c>
      <c r="C135" s="22">
        <f t="shared" si="44"/>
        <v>3.4499999999999957</v>
      </c>
      <c r="D135" s="22">
        <f t="shared" si="26"/>
        <v>11.902499999999971</v>
      </c>
      <c r="E135" s="22">
        <f t="shared" si="27"/>
        <v>57.310537499999867</v>
      </c>
      <c r="F135" s="22">
        <f t="shared" si="28"/>
        <v>10.902499999999971</v>
      </c>
      <c r="G135" s="22">
        <f>1</f>
        <v>1</v>
      </c>
      <c r="H135" s="22">
        <f t="shared" si="29"/>
        <v>2.0183276249999973</v>
      </c>
      <c r="I135" s="22" t="str">
        <f t="shared" si="30"/>
        <v>1+2.018327625j</v>
      </c>
      <c r="K135" s="22" t="str">
        <f t="shared" si="31"/>
        <v>10.9025+22.0048169315624j</v>
      </c>
      <c r="L135" s="22" t="str">
        <f t="shared" si="32"/>
        <v>68.2130374999999+22.0048169315624j</v>
      </c>
      <c r="N135" s="22" t="str">
        <f t="shared" si="33"/>
        <v>0.760979262906511-0.245484001045593j</v>
      </c>
      <c r="R135" s="22">
        <f t="shared" si="34"/>
        <v>0.79959479321909632</v>
      </c>
      <c r="T135" s="22">
        <f t="shared" si="2"/>
        <v>1.05</v>
      </c>
      <c r="U135" s="22">
        <f t="shared" si="3"/>
        <v>0.97</v>
      </c>
      <c r="W135" s="22">
        <f t="shared" si="45"/>
        <v>1E-3</v>
      </c>
      <c r="X135" s="22">
        <f t="shared" si="4"/>
        <v>4.8150000000000004</v>
      </c>
      <c r="Y135" s="22">
        <f t="shared" si="46"/>
        <v>3.4499999999999957</v>
      </c>
      <c r="Z135" s="22">
        <f t="shared" si="35"/>
        <v>11.902499999999971</v>
      </c>
      <c r="AA135" s="22">
        <f t="shared" si="36"/>
        <v>57.310537499999867</v>
      </c>
      <c r="AB135" s="22">
        <f t="shared" si="37"/>
        <v>10.902499999999971</v>
      </c>
      <c r="AC135" s="22">
        <v>1</v>
      </c>
      <c r="AD135" s="22">
        <f t="shared" si="38"/>
        <v>1.6611749999999981E-2</v>
      </c>
      <c r="AE135" s="22" t="str">
        <f t="shared" si="39"/>
        <v>1+0.01661175j</v>
      </c>
      <c r="AG135" s="22" t="str">
        <f t="shared" si="40"/>
        <v>10.9025+0.181109604375j</v>
      </c>
      <c r="AH135" s="22" t="str">
        <f t="shared" si="41"/>
        <v>68.2130374999999+0.181109604375j</v>
      </c>
      <c r="AJ135" s="22" t="str">
        <f t="shared" si="42"/>
        <v>0.840163927630936-0.00223068436944162j</v>
      </c>
      <c r="AN135" s="22">
        <f t="shared" si="43"/>
        <v>0.84016688892445435</v>
      </c>
      <c r="AO135" s="22">
        <v>69</v>
      </c>
      <c r="CB135" s="24"/>
      <c r="CC135" s="24"/>
      <c r="CD135" s="24"/>
    </row>
    <row r="136" spans="1:82" s="22" customFormat="1" x14ac:dyDescent="0.15">
      <c r="A136" s="22">
        <f t="shared" si="0"/>
        <v>0.1215</v>
      </c>
      <c r="B136" s="22">
        <f t="shared" si="1"/>
        <v>4.8150000000000004</v>
      </c>
      <c r="C136" s="22">
        <f t="shared" si="44"/>
        <v>3.4999999999999956</v>
      </c>
      <c r="D136" s="22">
        <f t="shared" si="26"/>
        <v>12.249999999999968</v>
      </c>
      <c r="E136" s="22">
        <f t="shared" si="27"/>
        <v>58.983749999999851</v>
      </c>
      <c r="F136" s="22">
        <f t="shared" si="28"/>
        <v>11.249999999999968</v>
      </c>
      <c r="G136" s="22">
        <f>1</f>
        <v>1</v>
      </c>
      <c r="H136" s="22">
        <f t="shared" si="29"/>
        <v>2.0475787499999978</v>
      </c>
      <c r="I136" s="22" t="str">
        <f t="shared" si="30"/>
        <v>1+2.04757875j</v>
      </c>
      <c r="K136" s="22" t="str">
        <f t="shared" si="31"/>
        <v>11.25+23.0352609374999j</v>
      </c>
      <c r="L136" s="22" t="str">
        <f t="shared" si="32"/>
        <v>70.2337499999998+23.0352609374999j</v>
      </c>
      <c r="N136" s="22" t="str">
        <f t="shared" si="33"/>
        <v>0.758254523484092-0.248692271244178j</v>
      </c>
      <c r="R136" s="22">
        <f t="shared" si="34"/>
        <v>0.79799609532921589</v>
      </c>
      <c r="T136" s="22">
        <f t="shared" si="2"/>
        <v>1.05</v>
      </c>
      <c r="U136" s="22">
        <f t="shared" si="3"/>
        <v>0.97</v>
      </c>
      <c r="W136" s="22">
        <f t="shared" si="45"/>
        <v>1E-3</v>
      </c>
      <c r="X136" s="22">
        <f t="shared" si="4"/>
        <v>4.8150000000000004</v>
      </c>
      <c r="Y136" s="22">
        <f t="shared" si="46"/>
        <v>3.4999999999999956</v>
      </c>
      <c r="Z136" s="22">
        <f t="shared" si="35"/>
        <v>12.249999999999968</v>
      </c>
      <c r="AA136" s="22">
        <f t="shared" si="36"/>
        <v>58.983749999999851</v>
      </c>
      <c r="AB136" s="22">
        <f t="shared" si="37"/>
        <v>11.249999999999968</v>
      </c>
      <c r="AC136" s="22">
        <v>1</v>
      </c>
      <c r="AD136" s="22">
        <f t="shared" si="38"/>
        <v>1.6852499999999982E-2</v>
      </c>
      <c r="AE136" s="22" t="str">
        <f t="shared" si="39"/>
        <v>1+0.0168525j</v>
      </c>
      <c r="AG136" s="22" t="str">
        <f t="shared" si="40"/>
        <v>11.25+0.189590624999999j</v>
      </c>
      <c r="AH136" s="22" t="str">
        <f t="shared" si="41"/>
        <v>70.2337499999998+0.189590624999999j</v>
      </c>
      <c r="AJ136" s="22" t="str">
        <f t="shared" si="42"/>
        <v>0.839814479438213-0.00226701481895442j</v>
      </c>
      <c r="AN136" s="22">
        <f t="shared" si="43"/>
        <v>0.83981753924901204</v>
      </c>
      <c r="AO136" s="22">
        <v>70</v>
      </c>
      <c r="CB136" s="24"/>
      <c r="CC136" s="24"/>
      <c r="CD136" s="24"/>
    </row>
    <row r="137" spans="1:82" s="22" customFormat="1" x14ac:dyDescent="0.15">
      <c r="A137" s="22">
        <f t="shared" si="0"/>
        <v>0.1215</v>
      </c>
      <c r="B137" s="22">
        <f t="shared" si="1"/>
        <v>4.8150000000000004</v>
      </c>
      <c r="C137" s="22">
        <f t="shared" si="44"/>
        <v>3.5499999999999954</v>
      </c>
      <c r="D137" s="22">
        <f t="shared" si="26"/>
        <v>12.602499999999967</v>
      </c>
      <c r="E137" s="22">
        <f t="shared" si="27"/>
        <v>60.681037499999846</v>
      </c>
      <c r="F137" s="22">
        <f t="shared" si="28"/>
        <v>11.602499999999967</v>
      </c>
      <c r="G137" s="22">
        <f>1</f>
        <v>1</v>
      </c>
      <c r="H137" s="22">
        <f t="shared" si="29"/>
        <v>2.0768298749999974</v>
      </c>
      <c r="I137" s="22" t="str">
        <f t="shared" si="30"/>
        <v>1+2.076829875j</v>
      </c>
      <c r="K137" s="22" t="str">
        <f t="shared" si="31"/>
        <v>11.6025+24.0964186246874j</v>
      </c>
      <c r="L137" s="22" t="str">
        <f t="shared" si="32"/>
        <v>72.2835374999999+24.0964186246874j</v>
      </c>
      <c r="N137" s="22" t="str">
        <f t="shared" si="33"/>
        <v>0.755525691311358-0.251861820397831j</v>
      </c>
      <c r="R137" s="22">
        <f t="shared" si="34"/>
        <v>0.79640030562878039</v>
      </c>
      <c r="T137" s="22">
        <f t="shared" si="2"/>
        <v>1.05</v>
      </c>
      <c r="U137" s="22">
        <f t="shared" si="3"/>
        <v>0.97</v>
      </c>
      <c r="W137" s="22">
        <f t="shared" si="45"/>
        <v>1E-3</v>
      </c>
      <c r="X137" s="22">
        <f t="shared" si="4"/>
        <v>4.8150000000000004</v>
      </c>
      <c r="Y137" s="22">
        <f t="shared" si="46"/>
        <v>3.5499999999999954</v>
      </c>
      <c r="Z137" s="22">
        <f t="shared" si="35"/>
        <v>12.602499999999967</v>
      </c>
      <c r="AA137" s="22">
        <f t="shared" si="36"/>
        <v>60.681037499999846</v>
      </c>
      <c r="AB137" s="22">
        <f t="shared" si="37"/>
        <v>11.602499999999967</v>
      </c>
      <c r="AC137" s="22">
        <v>1</v>
      </c>
      <c r="AD137" s="22">
        <f t="shared" si="38"/>
        <v>1.709324999999998E-2</v>
      </c>
      <c r="AE137" s="22" t="str">
        <f t="shared" si="39"/>
        <v>1+0.01709325j</v>
      </c>
      <c r="AG137" s="22" t="str">
        <f t="shared" si="40"/>
        <v>11.6025+0.198324433124999j</v>
      </c>
      <c r="AH137" s="22" t="str">
        <f t="shared" si="41"/>
        <v>72.2835374999999+0.198324433124999j</v>
      </c>
      <c r="AJ137" s="22" t="str">
        <f t="shared" si="42"/>
        <v>0.839479953549058-0.00230328220872446j</v>
      </c>
      <c r="AN137" s="22">
        <f t="shared" si="43"/>
        <v>0.83948311330226399</v>
      </c>
      <c r="AO137" s="22">
        <v>71</v>
      </c>
      <c r="CB137" s="24"/>
      <c r="CC137" s="24"/>
      <c r="CD137" s="24"/>
    </row>
    <row r="138" spans="1:82" s="18" customFormat="1" x14ac:dyDescent="0.15">
      <c r="CB138" s="19"/>
      <c r="CC138" s="19"/>
      <c r="CD138" s="19"/>
    </row>
    <row r="139" spans="1:82" s="18" customFormat="1" x14ac:dyDescent="0.15">
      <c r="CB139" s="19"/>
      <c r="CC139" s="19"/>
      <c r="CD139" s="19"/>
    </row>
    <row r="140" spans="1:82" x14ac:dyDescent="0.15">
      <c r="A140" s="16"/>
      <c r="B140" s="16"/>
      <c r="C140" s="17"/>
      <c r="D140" s="16"/>
      <c r="E140" s="16"/>
      <c r="F140" s="16"/>
      <c r="G140" s="16"/>
      <c r="H140" s="16"/>
      <c r="I140" s="16"/>
      <c r="J140" s="16"/>
      <c r="K140" s="16"/>
      <c r="L140" s="16"/>
      <c r="M140" s="16"/>
      <c r="N140" s="16"/>
      <c r="O140" s="16"/>
      <c r="P140" s="16"/>
      <c r="Q140" s="16"/>
      <c r="R140" s="17"/>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CB140" s="19"/>
      <c r="CC140" s="19"/>
      <c r="CD140" s="19"/>
    </row>
    <row r="141" spans="1:82" x14ac:dyDescent="0.15">
      <c r="CB141" s="19"/>
      <c r="CC141" s="19"/>
      <c r="CD141" s="19"/>
    </row>
    <row r="142" spans="1:82" x14ac:dyDescent="0.15">
      <c r="CB142" s="19"/>
      <c r="CC142" s="19"/>
      <c r="CD142" s="19"/>
    </row>
    <row r="143" spans="1:82" x14ac:dyDescent="0.15">
      <c r="CB143" s="19"/>
      <c r="CC143" s="19"/>
      <c r="CD143" s="19"/>
    </row>
    <row r="144" spans="1:82" x14ac:dyDescent="0.15">
      <c r="CB144" s="19"/>
      <c r="CC144" s="19"/>
      <c r="CD144" s="19"/>
    </row>
    <row r="145" spans="80:82" x14ac:dyDescent="0.15">
      <c r="CB145" s="19"/>
      <c r="CC145" s="19"/>
      <c r="CD145" s="19"/>
    </row>
    <row r="146" spans="80:82" x14ac:dyDescent="0.15">
      <c r="CB146" s="19"/>
      <c r="CC146" s="19"/>
      <c r="CD146" s="19"/>
    </row>
    <row r="147" spans="80:82" x14ac:dyDescent="0.15">
      <c r="CB147" s="19"/>
      <c r="CC147" s="19"/>
      <c r="CD147" s="19"/>
    </row>
    <row r="148" spans="80:82" x14ac:dyDescent="0.15">
      <c r="CB148" s="19"/>
      <c r="CC148" s="19"/>
      <c r="CD148" s="19"/>
    </row>
    <row r="149" spans="80:82" x14ac:dyDescent="0.15">
      <c r="CB149" s="19"/>
      <c r="CC149" s="19"/>
      <c r="CD149" s="19"/>
    </row>
    <row r="150" spans="80:82" x14ac:dyDescent="0.15">
      <c r="CB150" s="19"/>
      <c r="CC150" s="19"/>
      <c r="CD150" s="19"/>
    </row>
    <row r="151" spans="80:82" x14ac:dyDescent="0.15">
      <c r="CB151" s="19"/>
      <c r="CC151" s="19"/>
      <c r="CD151" s="19"/>
    </row>
    <row r="152" spans="80:82" x14ac:dyDescent="0.15">
      <c r="CB152" s="19"/>
      <c r="CC152" s="19"/>
      <c r="CD152" s="19"/>
    </row>
    <row r="153" spans="80:82" x14ac:dyDescent="0.15">
      <c r="CB153" s="19"/>
      <c r="CC153" s="19"/>
      <c r="CD153" s="19"/>
    </row>
    <row r="154" spans="80:82" x14ac:dyDescent="0.15">
      <c r="CB154" s="19"/>
      <c r="CC154" s="19"/>
      <c r="CD154" s="19"/>
    </row>
    <row r="155" spans="80:82" x14ac:dyDescent="0.15">
      <c r="CB155" s="19"/>
      <c r="CC155" s="19"/>
      <c r="CD155" s="19"/>
    </row>
    <row r="156" spans="80:82" x14ac:dyDescent="0.15">
      <c r="CB156" s="19"/>
      <c r="CC156" s="19"/>
      <c r="CD156" s="19"/>
    </row>
    <row r="157" spans="80:82" x14ac:dyDescent="0.15">
      <c r="CB157" s="19"/>
      <c r="CC157" s="19"/>
      <c r="CD157" s="19"/>
    </row>
    <row r="158" spans="80:82" x14ac:dyDescent="0.15">
      <c r="CB158" s="19"/>
      <c r="CC158" s="19"/>
      <c r="CD158" s="19"/>
    </row>
    <row r="159" spans="80:82" x14ac:dyDescent="0.15">
      <c r="CB159" s="19"/>
      <c r="CC159" s="19"/>
      <c r="CD159" s="19"/>
    </row>
    <row r="160" spans="80:82" x14ac:dyDescent="0.15">
      <c r="CB160" s="19"/>
      <c r="CC160" s="19"/>
      <c r="CD160" s="19"/>
    </row>
    <row r="161" spans="5:82" x14ac:dyDescent="0.15">
      <c r="CB161" s="19"/>
      <c r="CC161" s="19"/>
      <c r="CD161" s="19"/>
    </row>
    <row r="162" spans="5:82" x14ac:dyDescent="0.15">
      <c r="CB162" s="19"/>
      <c r="CC162" s="19"/>
      <c r="CD162" s="19"/>
    </row>
    <row r="163" spans="5:82" x14ac:dyDescent="0.15">
      <c r="CB163" s="19"/>
      <c r="CC163" s="19"/>
      <c r="CD163" s="19"/>
    </row>
    <row r="164" spans="5:82" x14ac:dyDescent="0.15">
      <c r="CB164" s="19"/>
      <c r="CC164" s="19"/>
      <c r="CD164" s="19"/>
    </row>
    <row r="165" spans="5:82" x14ac:dyDescent="0.15">
      <c r="CB165" s="19"/>
      <c r="CC165" s="19"/>
      <c r="CD165" s="19"/>
    </row>
    <row r="166" spans="5:82" x14ac:dyDescent="0.15">
      <c r="CB166" s="19"/>
      <c r="CC166" s="19"/>
      <c r="CD166" s="19"/>
    </row>
    <row r="167" spans="5:82" x14ac:dyDescent="0.15">
      <c r="CB167" s="19"/>
      <c r="CC167" s="19"/>
      <c r="CD167" s="19"/>
    </row>
    <row r="168" spans="5:82" x14ac:dyDescent="0.15">
      <c r="CB168" s="19"/>
      <c r="CC168" s="19"/>
      <c r="CD168" s="19"/>
    </row>
    <row r="169" spans="5:82" x14ac:dyDescent="0.15">
      <c r="CB169" s="19"/>
      <c r="CC169" s="19"/>
      <c r="CD169" s="19"/>
    </row>
    <row r="170" spans="5:82" x14ac:dyDescent="0.15">
      <c r="CB170" s="19"/>
      <c r="CC170" s="19"/>
      <c r="CD170" s="19"/>
    </row>
    <row r="171" spans="5:82" x14ac:dyDescent="0.15">
      <c r="CB171" s="19"/>
      <c r="CC171" s="19"/>
      <c r="CD171" s="19"/>
    </row>
    <row r="172" spans="5:82" x14ac:dyDescent="0.15">
      <c r="CB172" s="19"/>
      <c r="CC172" s="19"/>
      <c r="CD172" s="19"/>
    </row>
    <row r="173" spans="5:82" x14ac:dyDescent="0.15">
      <c r="CB173" s="19"/>
      <c r="CC173" s="19"/>
      <c r="CD173" s="19"/>
    </row>
    <row r="174" spans="5:82" x14ac:dyDescent="0.15">
      <c r="CB174" s="19"/>
      <c r="CC174" s="19"/>
      <c r="CD174" s="19"/>
    </row>
    <row r="175" spans="5:82" x14ac:dyDescent="0.15">
      <c r="E175" t="s">
        <v>117</v>
      </c>
      <c r="CB175" s="19"/>
      <c r="CC175" s="19"/>
      <c r="CD175" s="19"/>
    </row>
    <row r="176" spans="5:82" x14ac:dyDescent="0.15">
      <c r="CB176" s="19"/>
      <c r="CC176" s="19"/>
      <c r="CD176" s="19"/>
    </row>
    <row r="177" spans="1:82" x14ac:dyDescent="0.15">
      <c r="A177" t="s">
        <v>49</v>
      </c>
      <c r="J177" t="s">
        <v>70</v>
      </c>
      <c r="CB177" s="19"/>
      <c r="CC177" s="19"/>
      <c r="CD177" s="19"/>
    </row>
    <row r="178" spans="1:82" ht="18.75" x14ac:dyDescent="0.35">
      <c r="A178" s="8" t="s">
        <v>50</v>
      </c>
      <c r="B178" s="9">
        <f>10^-3</f>
        <v>1E-3</v>
      </c>
      <c r="E178" s="225" t="s">
        <v>67</v>
      </c>
      <c r="F178" s="225"/>
      <c r="G178" s="225"/>
      <c r="J178" s="10" t="s">
        <v>72</v>
      </c>
      <c r="K178" s="7">
        <f>(1/(2*PI()*fllc*kHz*Re_fl*Qe_selected))/picoF</f>
        <v>233802.89405359564</v>
      </c>
      <c r="L178" s="10" t="s">
        <v>71</v>
      </c>
      <c r="CB178" s="19"/>
      <c r="CC178" s="19"/>
      <c r="CD178" s="19"/>
    </row>
    <row r="179" spans="1:82" ht="18.75" x14ac:dyDescent="0.35">
      <c r="A179" s="8" t="s">
        <v>51</v>
      </c>
      <c r="B179" s="9">
        <f>(10^-6)</f>
        <v>9.9999999999999995E-7</v>
      </c>
      <c r="E179" s="225" t="s">
        <v>68</v>
      </c>
      <c r="F179" s="225"/>
      <c r="G179" s="225"/>
      <c r="J179" s="10" t="s">
        <v>121</v>
      </c>
      <c r="K179" s="10">
        <f>(IF(Cr_initial&lt;10000,K180*10^INT(LOG(Cr_initial)),K181*10^INT(LOG(Cr_initial))))*10^-6</f>
        <v>0.22000000000000003</v>
      </c>
      <c r="L179" s="10" t="str">
        <f>IF(Cr_initial&lt;10000,"pF","uF")</f>
        <v>uF</v>
      </c>
      <c r="CB179" s="19"/>
      <c r="CC179" s="19"/>
      <c r="CD179" s="19"/>
    </row>
    <row r="180" spans="1:82" ht="14.25" x14ac:dyDescent="0.2">
      <c r="A180" s="8" t="s">
        <v>52</v>
      </c>
      <c r="B180" s="9">
        <f>10^3</f>
        <v>1000</v>
      </c>
      <c r="E180" s="10">
        <v>1</v>
      </c>
      <c r="F180" s="10">
        <v>1.2</v>
      </c>
      <c r="G180" s="10"/>
      <c r="J180" s="10"/>
      <c r="K180" s="10">
        <f>IF((10^(LOG(Cr_initial)-INT(LOG(Cr_initial))))-VLOOKUP((10^(LOG(Cr_initial)-INT(LOG(Cr_initial)))),C_s1:C_f1,1)&lt;VLOOKUP((10^(LOG(Cr_initial)-INT(LOG(Cr_initial)))),C_s1:C_f1,2)-(10^(LOG(Cr_initial)-INT(LOG(Cr_initial)))),VLOOKUP((10^(LOG(Cr_initial)-INT(LOG(Cr_initial)))),C_s1:C_f1,1),VLOOKUP((10^(LOG(Cr_initial)-INT(LOG(Cr_initial)))),C_s1:C_f1,2))</f>
        <v>2.2000000000000002</v>
      </c>
      <c r="L180" s="10"/>
      <c r="CB180" s="19"/>
      <c r="CC180" s="19"/>
      <c r="CD180" s="19"/>
    </row>
    <row r="181" spans="1:82" ht="14.25" x14ac:dyDescent="0.2">
      <c r="A181" s="8" t="s">
        <v>53</v>
      </c>
      <c r="B181" s="9">
        <f>10^-3</f>
        <v>1E-3</v>
      </c>
      <c r="E181" s="10">
        <v>1.2</v>
      </c>
      <c r="F181" s="10">
        <v>1.5</v>
      </c>
      <c r="G181" s="10"/>
      <c r="J181" s="10"/>
      <c r="K181" s="10">
        <f>IF((10^(LOG(Cr_initial)-INT(LOG(Cr_initial))))-VLOOKUP((10^(LOG(Cr_initial)-INT(LOG(Cr_initial)))),C_s2:C_f2,1)&lt;VLOOKUP((10^(LOG(Cr_initial)-INT(LOG(Cr_initial)))),C_s2:C_f2,2)-(10^(LOG(Cr_initial)-INT(LOG(Cr_initial)))),VLOOKUP((10^(LOG(Cr_initial)-INT(LOG(Cr_initial)))),C_s2:C_f2,1),VLOOKUP((10^(LOG(Cr_initial)-INT(LOG(Cr_initial)))),C_s2:C_f2,2))</f>
        <v>2.2000000000000002</v>
      </c>
      <c r="L181" s="10"/>
      <c r="CB181" s="19"/>
      <c r="CC181" s="19"/>
      <c r="CD181" s="19"/>
    </row>
    <row r="182" spans="1:82" ht="14.25" x14ac:dyDescent="0.2">
      <c r="A182" s="8" t="s">
        <v>54</v>
      </c>
      <c r="B182" s="9">
        <f>10^-3</f>
        <v>1E-3</v>
      </c>
      <c r="E182" s="10">
        <v>1.5</v>
      </c>
      <c r="F182" s="10">
        <v>1.8</v>
      </c>
      <c r="G182" s="10"/>
      <c r="CB182" s="19"/>
      <c r="CC182" s="19"/>
      <c r="CD182" s="19"/>
    </row>
    <row r="183" spans="1:82" ht="14.25" x14ac:dyDescent="0.2">
      <c r="A183" s="8" t="s">
        <v>55</v>
      </c>
      <c r="B183" s="9">
        <f>10^-3</f>
        <v>1E-3</v>
      </c>
      <c r="E183" s="10">
        <v>1.8</v>
      </c>
      <c r="F183" s="10">
        <v>2.2000000000000002</v>
      </c>
      <c r="G183" s="10"/>
      <c r="CB183" s="19"/>
      <c r="CC183" s="19"/>
      <c r="CD183" s="19"/>
    </row>
    <row r="184" spans="1:82" ht="14.25" x14ac:dyDescent="0.2">
      <c r="A184" s="8" t="s">
        <v>56</v>
      </c>
      <c r="B184" s="9">
        <f>10^-6</f>
        <v>9.9999999999999995E-7</v>
      </c>
      <c r="E184" s="10">
        <v>2.2000000000000002</v>
      </c>
      <c r="F184" s="10">
        <v>2.7</v>
      </c>
      <c r="G184" s="10"/>
      <c r="J184" t="s">
        <v>109</v>
      </c>
      <c r="CB184" s="19"/>
      <c r="CC184" s="19"/>
      <c r="CD184" s="19"/>
    </row>
    <row r="185" spans="1:82" ht="14.25" x14ac:dyDescent="0.2">
      <c r="A185" s="8" t="s">
        <v>57</v>
      </c>
      <c r="B185" s="9">
        <f>10^-6</f>
        <v>9.9999999999999995E-7</v>
      </c>
      <c r="E185" s="10">
        <v>2.7</v>
      </c>
      <c r="F185" s="10">
        <v>3.3</v>
      </c>
      <c r="G185" s="10"/>
      <c r="J185" t="s">
        <v>110</v>
      </c>
      <c r="K185" t="e">
        <f>1/(2*PI()*10*kHz*Rcs_LLC*mOhm)/picoF</f>
        <v>#REF!</v>
      </c>
      <c r="L185" s="10" t="s">
        <v>71</v>
      </c>
      <c r="CB185" s="19"/>
      <c r="CC185" s="19"/>
      <c r="CD185" s="19"/>
    </row>
    <row r="186" spans="1:82" ht="14.25" x14ac:dyDescent="0.2">
      <c r="A186" s="8" t="s">
        <v>58</v>
      </c>
      <c r="B186" s="9">
        <f>10^-9</f>
        <v>1.0000000000000001E-9</v>
      </c>
      <c r="E186" s="10">
        <v>3.3</v>
      </c>
      <c r="F186" s="10">
        <v>3.9</v>
      </c>
      <c r="G186" s="10"/>
      <c r="J186" t="s">
        <v>111</v>
      </c>
      <c r="K186" t="e">
        <f>(IF(C_1initial&lt;10000,K187*10^INT(LOG(C_1initial)),K188*10^INT(LOG(C_1initial))))*10^-6</f>
        <v>#REF!</v>
      </c>
      <c r="L186" s="10" t="e">
        <f>IF(C_1initial&lt;10000,"pF","uF")</f>
        <v>#REF!</v>
      </c>
      <c r="CB186" s="19"/>
      <c r="CC186" s="19"/>
      <c r="CD186" s="19"/>
    </row>
    <row r="187" spans="1:82" ht="14.25" x14ac:dyDescent="0.2">
      <c r="A187" s="8" t="s">
        <v>59</v>
      </c>
      <c r="B187" s="9">
        <f>10^-3</f>
        <v>1E-3</v>
      </c>
      <c r="E187" s="10">
        <v>3.9</v>
      </c>
      <c r="F187" s="10">
        <v>4.7</v>
      </c>
      <c r="G187" s="10"/>
      <c r="K187" t="e">
        <f>IF((10^(LOG(C_1initial)-INT(LOG(C_1initial))))-VLOOKUP((10^(LOG(C_1initial)-INT(LOG(C_1initial)))),C_s1:C_f1,1)&lt;VLOOKUP((10^(LOG(C_1initial)-INT(LOG(C_1initial)))),C_s1:C_f1,2)-(10^(LOG(C_1initial)-INT(LOG(C_1initial)))),VLOOKUP((10^(LOG(C_1initial)-INT(LOG(C_1initial)))),C_s1:C_f1,1),VLOOKUP((10^(LOG(C_1initial)-INT(LOG(C_1initial)))),C_s1:C_f1,2))</f>
        <v>#REF!</v>
      </c>
      <c r="CB187" s="19"/>
      <c r="CC187" s="19"/>
      <c r="CD187" s="19"/>
    </row>
    <row r="188" spans="1:82" ht="14.25" x14ac:dyDescent="0.2">
      <c r="A188" s="8" t="s">
        <v>60</v>
      </c>
      <c r="B188" s="9">
        <f>10^-12</f>
        <v>9.9999999999999998E-13</v>
      </c>
      <c r="E188" s="10">
        <v>4.7</v>
      </c>
      <c r="F188" s="10">
        <v>5.6</v>
      </c>
      <c r="G188" s="10"/>
      <c r="K188" t="e">
        <f>IF((10^(LOG(C_1initial)-INT(LOG(C_1initial))))-VLOOKUP((10^(LOG(C_1initial)-INT(LOG(C_1initial)))),C_s2:C_f2,1)&lt;VLOOKUP((10^(LOG(C_1initial)-INT(LOG(C_1initial)))),C_s2:C_f2,2)-(10^(LOG(C_1initial)-INT(LOG(C_1initial)))),VLOOKUP((10^(LOG(C_1initial)-INT(LOG(C_1initial)))),C_s2:C_f2,1),VLOOKUP((10^(LOG(C_1initial)-INT(LOG(C_1initial)))),C_s2:C_f2,2))</f>
        <v>#REF!</v>
      </c>
      <c r="CB188" s="19"/>
      <c r="CC188" s="19"/>
      <c r="CD188" s="19"/>
    </row>
    <row r="189" spans="1:82" ht="14.25" x14ac:dyDescent="0.2">
      <c r="A189" s="8" t="s">
        <v>61</v>
      </c>
      <c r="B189" s="9">
        <f>10^6</f>
        <v>1000000</v>
      </c>
      <c r="E189" s="10">
        <v>5.6</v>
      </c>
      <c r="F189" s="10">
        <v>6.8</v>
      </c>
      <c r="G189" s="10"/>
      <c r="CB189" s="19"/>
      <c r="CC189" s="19"/>
      <c r="CD189" s="19"/>
    </row>
    <row r="190" spans="1:82" ht="14.25" x14ac:dyDescent="0.2">
      <c r="A190" s="8" t="s">
        <v>62</v>
      </c>
      <c r="B190" s="9">
        <f>10^-6</f>
        <v>9.9999999999999995E-7</v>
      </c>
      <c r="E190" s="10">
        <v>6.8</v>
      </c>
      <c r="F190" s="10">
        <v>8.1999999999999993</v>
      </c>
      <c r="G190" s="10"/>
      <c r="CB190" s="19"/>
      <c r="CC190" s="19"/>
      <c r="CD190" s="19"/>
    </row>
    <row r="191" spans="1:82" ht="15" x14ac:dyDescent="0.25">
      <c r="A191" s="8" t="s">
        <v>63</v>
      </c>
      <c r="B191" s="9">
        <f>10^3</f>
        <v>1000</v>
      </c>
      <c r="E191" s="10">
        <v>8.1999999999999993</v>
      </c>
      <c r="F191" s="10">
        <v>10</v>
      </c>
      <c r="G191" s="10"/>
      <c r="J191" t="s">
        <v>118</v>
      </c>
      <c r="CB191" s="19"/>
      <c r="CC191" s="19"/>
      <c r="CD191" s="19"/>
    </row>
    <row r="192" spans="1:82" ht="14.25" x14ac:dyDescent="0.2">
      <c r="A192" s="8" t="s">
        <v>64</v>
      </c>
      <c r="B192" s="9">
        <f>10^-9</f>
        <v>1.0000000000000001E-9</v>
      </c>
      <c r="E192" s="225" t="s">
        <v>69</v>
      </c>
      <c r="F192" s="225"/>
      <c r="G192" s="225"/>
      <c r="J192" t="s">
        <v>119</v>
      </c>
      <c r="K192" t="e">
        <f>Ihfr_pfc/(8*f_pfc*kHz*deltaVin)/picoF</f>
        <v>#REF!</v>
      </c>
      <c r="L192" t="s">
        <v>71</v>
      </c>
      <c r="CB192" s="19"/>
      <c r="CC192" s="19"/>
      <c r="CD192" s="19"/>
    </row>
    <row r="193" spans="1:82" ht="14.25" x14ac:dyDescent="0.2">
      <c r="A193" s="8" t="s">
        <v>65</v>
      </c>
      <c r="B193" s="9">
        <f>10^-9</f>
        <v>1.0000000000000001E-9</v>
      </c>
      <c r="E193" s="10">
        <v>1</v>
      </c>
      <c r="F193" s="10">
        <v>1.5</v>
      </c>
      <c r="G193" s="10"/>
      <c r="J193" t="s">
        <v>120</v>
      </c>
      <c r="K193" t="e">
        <f>(IF(Cin_initial&lt;10000,K194*10^INT(LOG(Cin_initial)),K195*10^INT(LOG(Cin_initial))))*10^-6</f>
        <v>#REF!</v>
      </c>
      <c r="L193" t="e">
        <f>IF(Cin_initial&lt;10000,"pF","uF")</f>
        <v>#REF!</v>
      </c>
      <c r="CB193" s="19"/>
      <c r="CC193" s="19"/>
      <c r="CD193" s="19"/>
    </row>
    <row r="194" spans="1:82" ht="14.25" x14ac:dyDescent="0.2">
      <c r="A194" s="8" t="s">
        <v>66</v>
      </c>
      <c r="B194" s="9">
        <f>10^-6</f>
        <v>9.9999999999999995E-7</v>
      </c>
      <c r="E194" s="10">
        <v>1.5</v>
      </c>
      <c r="F194" s="10">
        <v>2.2000000000000002</v>
      </c>
      <c r="G194" s="10"/>
      <c r="K194" t="e">
        <f>IF((10^(LOG(Cin_initial)-INT(LOG(Cin_initial))))-VLOOKUP((10^(LOG(Cin_initial)-INT(LOG(Cin_initial)))),C_s1:C_f1,1)&lt;VLOOKUP((10^(LOG(Cin_initial)-INT(LOG(Cin_initial)))),C_s1:C_f1,2)-(10^(LOG(Cin_initial)-INT(LOG(Cin_initial)))),VLOOKUP((10^(LOG(Cin_initial)-INT(LOG(Cin_initial)))),C_s1:C_f1,1),VLOOKUP((10^(LOG(Cin_initial)-INT(LOG(Cin_initial)))),C_s1:C_f1,2))</f>
        <v>#REF!</v>
      </c>
      <c r="CB194" s="19"/>
      <c r="CC194" s="19"/>
      <c r="CD194" s="19"/>
    </row>
    <row r="195" spans="1:82" ht="14.25" x14ac:dyDescent="0.2">
      <c r="E195" s="10">
        <v>2.2000000000000002</v>
      </c>
      <c r="F195" s="10">
        <v>2.7</v>
      </c>
      <c r="G195" s="10"/>
      <c r="K195" t="e">
        <f>IF((10^(LOG(Cin_initial)-INT(LOG(Cin_initial))))-VLOOKUP((10^(LOG(Cin_initial)-INT(LOG(Cin_initial)))),C_s2:C_f2,1)&gt;VLOOKUP((10^(LOG(Cin_initial)-INT(LOG(Cin_initial)))),C_s2:C_f2,2)-(10^(LOG(Cin_initial)-INT(LOG(Cin_initial)))),VLOOKUP((10^(LOG(Cin_initial)-INT(LOG(Cin_initial)))),C_s2:C_f2,1),VLOOKUP((10^(LOG(Cin_initial)-INT(LOG(Cin_initial)))),C_s2:C_f2,2))</f>
        <v>#REF!</v>
      </c>
      <c r="CB195" s="19"/>
      <c r="CC195" s="19"/>
      <c r="CD195" s="19"/>
    </row>
    <row r="196" spans="1:82" ht="14.25" x14ac:dyDescent="0.2">
      <c r="E196" s="10">
        <v>2.7</v>
      </c>
      <c r="F196" s="10">
        <v>3.3</v>
      </c>
      <c r="G196" s="10"/>
      <c r="CB196" s="19"/>
      <c r="CC196" s="19"/>
      <c r="CD196" s="19"/>
    </row>
    <row r="197" spans="1:82" ht="14.25" x14ac:dyDescent="0.2">
      <c r="E197" s="10">
        <v>3.3</v>
      </c>
      <c r="F197" s="10">
        <v>4.7</v>
      </c>
      <c r="G197" s="10"/>
      <c r="CB197" s="19"/>
      <c r="CC197" s="19"/>
      <c r="CD197" s="19"/>
    </row>
    <row r="198" spans="1:82" ht="14.25" x14ac:dyDescent="0.2">
      <c r="E198" s="10">
        <v>4.7</v>
      </c>
      <c r="F198" s="10">
        <v>6.8</v>
      </c>
      <c r="G198" s="10"/>
      <c r="J198" t="s">
        <v>122</v>
      </c>
      <c r="CB198" s="19"/>
      <c r="CC198" s="19"/>
      <c r="CD198" s="19"/>
    </row>
    <row r="199" spans="1:82" ht="14.25" x14ac:dyDescent="0.2">
      <c r="E199" s="10">
        <v>6.8</v>
      </c>
      <c r="F199" s="10">
        <v>10</v>
      </c>
      <c r="J199" t="s">
        <v>123</v>
      </c>
      <c r="K199" t="e">
        <f>((2*Pout*tH*ms)/(Vblk_min^2-Vblk_hu^2))/picoF</f>
        <v>#REF!</v>
      </c>
      <c r="L199" t="s">
        <v>71</v>
      </c>
      <c r="CB199" s="19"/>
      <c r="CC199" s="19"/>
      <c r="CD199" s="19"/>
    </row>
    <row r="200" spans="1:82" x14ac:dyDescent="0.15">
      <c r="J200" t="s">
        <v>124</v>
      </c>
      <c r="K200" t="e">
        <f>(IF(Cblk_initial&lt;10000,K201*10^INT(LOG(Cblk_initial)),K202*10^INT(LOG(Cblk_initial))))*10^-6</f>
        <v>#REF!</v>
      </c>
      <c r="L200" t="e">
        <f>IF(Cblk_initial&lt;10000,"pF","uF")</f>
        <v>#REF!</v>
      </c>
      <c r="CB200" s="19"/>
      <c r="CC200" s="19"/>
      <c r="CD200" s="19"/>
    </row>
    <row r="201" spans="1:82" x14ac:dyDescent="0.15">
      <c r="K201" t="e">
        <f>IF((10^(LOG(Cblk_initial)-INT(LOG(Cblk_initial))))-VLOOKUP((10^(LOG(Cblk_initial)-INT(LOG(Cblk_initial)))),C_s1:C_f1,1)&lt;VLOOKUP((10^(LOG(Cblk_initial)-INT(LOG(Cblk_initial)))),C_s1:C_f1,2)-(10^(LOG(Cblk_initial)-INT(LOG(Cblk_initial)))),VLOOKUP((10^(LOG(Cblk_initial)-INT(LOG(Cblk_initial)))),C_s1:C_f1,1),VLOOKUP((10^(LOG(Cblk_initial)-INT(LOG(Cblk_initial)))),C_s1:C_f1,2))</f>
        <v>#REF!</v>
      </c>
      <c r="CB201" s="19"/>
      <c r="CC201" s="19"/>
      <c r="CD201" s="19"/>
    </row>
    <row r="202" spans="1:82" x14ac:dyDescent="0.15">
      <c r="K202" t="e">
        <f>IF((10^(LOG(Cblk_initial)-INT(LOG(Cblk_initial))))-VLOOKUP((10^(LOG(Cblk_initial)-INT(LOG(Cblk_initial)))),C_s2:C_f2,1)&lt;VLOOKUP((10^(LOG(Cblk_initial)-INT(LOG(Cblk_initial)))),C_s2:C_f2,2)-(10^(LOG(Cblk_initial)-INT(LOG(Cblk_initial)))),VLOOKUP((10^(LOG(Cblk_initial)-INT(LOG(Cblk_initial)))),C_s2:C_f2,1),VLOOKUP((10^(LOG(Cblk_initial)-INT(LOG(Cblk_initial)))),C_s2:C_f2,2))</f>
        <v>#REF!</v>
      </c>
      <c r="CB202" s="19"/>
      <c r="CC202" s="19"/>
      <c r="CD202" s="19"/>
    </row>
    <row r="203" spans="1:82" x14ac:dyDescent="0.15">
      <c r="CB203" s="19"/>
      <c r="CC203" s="19"/>
      <c r="CD203" s="19"/>
    </row>
    <row r="204" spans="1:82" x14ac:dyDescent="0.15">
      <c r="CB204" s="19"/>
      <c r="CC204" s="19"/>
      <c r="CD204" s="19"/>
    </row>
    <row r="205" spans="1:82" x14ac:dyDescent="0.15">
      <c r="CB205" s="19"/>
      <c r="CC205" s="19"/>
      <c r="CD205" s="19"/>
    </row>
    <row r="206" spans="1:82" x14ac:dyDescent="0.15">
      <c r="CB206" s="19"/>
      <c r="CC206" s="19"/>
      <c r="CD206" s="19"/>
    </row>
    <row r="207" spans="1:82" x14ac:dyDescent="0.15">
      <c r="CB207" s="19"/>
      <c r="CC207" s="19"/>
      <c r="CD207" s="19"/>
    </row>
    <row r="208" spans="1:82" x14ac:dyDescent="0.15">
      <c r="CB208" s="19"/>
      <c r="CC208" s="19"/>
      <c r="CD208" s="19"/>
    </row>
    <row r="209" spans="1:82" x14ac:dyDescent="0.15">
      <c r="CB209" s="19"/>
      <c r="CC209" s="19"/>
      <c r="CD209" s="19"/>
    </row>
    <row r="210" spans="1:82" x14ac:dyDescent="0.15">
      <c r="CB210" s="19"/>
      <c r="CC210" s="19"/>
      <c r="CD210" s="19"/>
    </row>
    <row r="211" spans="1:82" x14ac:dyDescent="0.15">
      <c r="CB211" s="19"/>
      <c r="CC211" s="19"/>
      <c r="CD211" s="19"/>
    </row>
    <row r="212" spans="1:82" x14ac:dyDescent="0.15">
      <c r="CB212" s="19"/>
      <c r="CC212" s="19"/>
      <c r="CD212" s="19"/>
    </row>
    <row r="213" spans="1:82" x14ac:dyDescent="0.15">
      <c r="CB213" s="19"/>
      <c r="CC213" s="19"/>
      <c r="CD213" s="19"/>
    </row>
    <row r="214" spans="1:82" x14ac:dyDescent="0.15">
      <c r="CB214" s="19"/>
      <c r="CC214" s="19"/>
      <c r="CD214" s="19"/>
    </row>
    <row r="215" spans="1:82" x14ac:dyDescent="0.15">
      <c r="A215" t="s">
        <v>392</v>
      </c>
      <c r="CB215" s="19"/>
      <c r="CC215" s="19"/>
      <c r="CD215" s="19"/>
    </row>
    <row r="216" spans="1:82" x14ac:dyDescent="0.15">
      <c r="A216" t="s">
        <v>404</v>
      </c>
      <c r="CB216" s="19"/>
      <c r="CC216" s="19"/>
      <c r="CD216" s="19"/>
    </row>
    <row r="217" spans="1:82" x14ac:dyDescent="0.15">
      <c r="A217" t="s">
        <v>405</v>
      </c>
      <c r="CB217" s="19"/>
      <c r="CC217" s="19"/>
      <c r="CD217" s="19"/>
    </row>
    <row r="218" spans="1:82" x14ac:dyDescent="0.15">
      <c r="A218" t="s">
        <v>406</v>
      </c>
      <c r="CB218" s="19"/>
      <c r="CC218" s="19"/>
      <c r="CD218" s="19"/>
    </row>
    <row r="219" spans="1:82" x14ac:dyDescent="0.15">
      <c r="A219" t="s">
        <v>407</v>
      </c>
      <c r="CB219" s="19"/>
      <c r="CC219" s="19"/>
      <c r="CD219" s="19"/>
    </row>
    <row r="220" spans="1:82" x14ac:dyDescent="0.15">
      <c r="CB220" s="19"/>
      <c r="CC220" s="19"/>
      <c r="CD220" s="19"/>
    </row>
    <row r="221" spans="1:82" x14ac:dyDescent="0.15">
      <c r="CB221" s="19"/>
      <c r="CC221" s="19"/>
      <c r="CD221" s="19"/>
    </row>
    <row r="222" spans="1:82" x14ac:dyDescent="0.15">
      <c r="CB222" s="19"/>
      <c r="CC222" s="19"/>
      <c r="CD222" s="19"/>
    </row>
    <row r="223" spans="1:82" x14ac:dyDescent="0.15">
      <c r="CB223" s="19"/>
      <c r="CC223" s="19"/>
      <c r="CD223" s="19"/>
    </row>
    <row r="224" spans="1:82" x14ac:dyDescent="0.15">
      <c r="CB224" s="19"/>
      <c r="CC224" s="19"/>
      <c r="CD224" s="19"/>
    </row>
    <row r="225" spans="80:82" x14ac:dyDescent="0.15">
      <c r="CB225" s="19"/>
      <c r="CC225" s="19"/>
      <c r="CD225" s="19"/>
    </row>
    <row r="226" spans="80:82" x14ac:dyDescent="0.15">
      <c r="CB226" s="19"/>
      <c r="CC226" s="19"/>
      <c r="CD226" s="19"/>
    </row>
    <row r="227" spans="80:82" x14ac:dyDescent="0.15">
      <c r="CB227" s="19"/>
      <c r="CC227" s="19"/>
      <c r="CD227" s="19"/>
    </row>
    <row r="228" spans="80:82" x14ac:dyDescent="0.15">
      <c r="CB228" s="19"/>
      <c r="CC228" s="19"/>
      <c r="CD228" s="19"/>
    </row>
    <row r="229" spans="80:82" x14ac:dyDescent="0.15">
      <c r="CB229" s="19"/>
      <c r="CC229" s="19"/>
      <c r="CD229" s="19"/>
    </row>
    <row r="230" spans="80:82" x14ac:dyDescent="0.15">
      <c r="CB230" s="19"/>
      <c r="CC230" s="19"/>
      <c r="CD230" s="19"/>
    </row>
    <row r="231" spans="80:82" x14ac:dyDescent="0.15">
      <c r="CB231" s="19"/>
      <c r="CC231" s="19"/>
      <c r="CD231" s="19"/>
    </row>
    <row r="232" spans="80:82" x14ac:dyDescent="0.15">
      <c r="CB232" s="19"/>
      <c r="CC232" s="19"/>
      <c r="CD232" s="19"/>
    </row>
    <row r="233" spans="80:82" x14ac:dyDescent="0.15">
      <c r="CB233" s="19"/>
      <c r="CC233" s="19"/>
      <c r="CD233" s="19"/>
    </row>
    <row r="234" spans="80:82" x14ac:dyDescent="0.15">
      <c r="CB234" s="19"/>
      <c r="CC234" s="19"/>
      <c r="CD234" s="19"/>
    </row>
    <row r="235" spans="80:82" x14ac:dyDescent="0.15">
      <c r="CB235" s="19"/>
      <c r="CC235" s="19"/>
      <c r="CD235" s="19"/>
    </row>
    <row r="236" spans="80:82" x14ac:dyDescent="0.15">
      <c r="CB236" s="19"/>
      <c r="CC236" s="19"/>
      <c r="CD236" s="19"/>
    </row>
    <row r="237" spans="80:82" x14ac:dyDescent="0.15">
      <c r="CB237" s="19"/>
      <c r="CC237" s="19"/>
      <c r="CD237" s="19"/>
    </row>
    <row r="238" spans="80:82" x14ac:dyDescent="0.15">
      <c r="CB238" s="19"/>
      <c r="CC238" s="19"/>
      <c r="CD238" s="19"/>
    </row>
    <row r="239" spans="80:82" x14ac:dyDescent="0.15">
      <c r="CB239" s="19"/>
      <c r="CC239" s="19"/>
      <c r="CD239" s="19"/>
    </row>
    <row r="240" spans="80:82" x14ac:dyDescent="0.15">
      <c r="CB240" s="19"/>
      <c r="CC240" s="19"/>
      <c r="CD240" s="19"/>
    </row>
    <row r="241" spans="80:82" x14ac:dyDescent="0.15">
      <c r="CB241" s="19"/>
      <c r="CC241" s="19"/>
      <c r="CD241" s="19"/>
    </row>
    <row r="242" spans="80:82" x14ac:dyDescent="0.15">
      <c r="CB242" s="19"/>
      <c r="CC242" s="19"/>
      <c r="CD242" s="19"/>
    </row>
    <row r="243" spans="80:82" x14ac:dyDescent="0.15">
      <c r="CB243" s="19"/>
      <c r="CC243" s="19"/>
      <c r="CD243" s="19"/>
    </row>
    <row r="244" spans="80:82" x14ac:dyDescent="0.15">
      <c r="CB244" s="19"/>
      <c r="CC244" s="19"/>
      <c r="CD244" s="19"/>
    </row>
    <row r="245" spans="80:82" x14ac:dyDescent="0.15">
      <c r="CB245" s="19"/>
      <c r="CC245" s="19"/>
      <c r="CD245" s="19"/>
    </row>
    <row r="246" spans="80:82" x14ac:dyDescent="0.15">
      <c r="CB246" s="19"/>
      <c r="CC246" s="19"/>
      <c r="CD246" s="19"/>
    </row>
    <row r="247" spans="80:82" x14ac:dyDescent="0.15">
      <c r="CB247" s="19"/>
      <c r="CC247" s="19"/>
      <c r="CD247" s="19"/>
    </row>
    <row r="248" spans="80:82" x14ac:dyDescent="0.15">
      <c r="CB248" s="19"/>
      <c r="CC248" s="19"/>
      <c r="CD248" s="19"/>
    </row>
    <row r="249" spans="80:82" x14ac:dyDescent="0.15">
      <c r="CB249" s="19"/>
      <c r="CC249" s="19"/>
      <c r="CD249" s="19"/>
    </row>
    <row r="250" spans="80:82" x14ac:dyDescent="0.15">
      <c r="CB250" s="19"/>
      <c r="CC250" s="19"/>
      <c r="CD250" s="19"/>
    </row>
    <row r="251" spans="80:82" x14ac:dyDescent="0.15">
      <c r="CB251" s="19"/>
      <c r="CC251" s="19"/>
      <c r="CD251" s="19"/>
    </row>
    <row r="252" spans="80:82" x14ac:dyDescent="0.15">
      <c r="CB252" s="19"/>
      <c r="CC252" s="19"/>
      <c r="CD252" s="19"/>
    </row>
    <row r="253" spans="80:82" x14ac:dyDescent="0.15">
      <c r="CB253" s="19"/>
      <c r="CC253" s="19"/>
      <c r="CD253" s="19"/>
    </row>
    <row r="254" spans="80:82" x14ac:dyDescent="0.15">
      <c r="CB254" s="19"/>
      <c r="CC254" s="19"/>
      <c r="CD254" s="19"/>
    </row>
    <row r="255" spans="80:82" x14ac:dyDescent="0.15">
      <c r="CB255" s="19"/>
      <c r="CC255" s="19"/>
      <c r="CD255" s="19"/>
    </row>
    <row r="256" spans="80:82" x14ac:dyDescent="0.15">
      <c r="CB256" s="19"/>
      <c r="CC256" s="19"/>
      <c r="CD256" s="19"/>
    </row>
    <row r="257" spans="80:82" x14ac:dyDescent="0.15">
      <c r="CB257" s="19"/>
      <c r="CC257" s="19"/>
      <c r="CD257" s="19"/>
    </row>
    <row r="258" spans="80:82" x14ac:dyDescent="0.15">
      <c r="CB258" s="19"/>
      <c r="CC258" s="19"/>
      <c r="CD258" s="19"/>
    </row>
    <row r="259" spans="80:82" x14ac:dyDescent="0.15">
      <c r="CB259" s="19"/>
      <c r="CC259" s="19"/>
      <c r="CD259" s="19"/>
    </row>
    <row r="260" spans="80:82" x14ac:dyDescent="0.15">
      <c r="CB260" s="19"/>
      <c r="CC260" s="19"/>
      <c r="CD260" s="19"/>
    </row>
    <row r="261" spans="80:82" x14ac:dyDescent="0.15">
      <c r="CB261" s="19"/>
      <c r="CC261" s="19"/>
      <c r="CD261" s="19"/>
    </row>
    <row r="262" spans="80:82" x14ac:dyDescent="0.15">
      <c r="CB262" s="19"/>
      <c r="CC262" s="19"/>
      <c r="CD262" s="19"/>
    </row>
    <row r="263" spans="80:82" x14ac:dyDescent="0.15">
      <c r="CB263" s="19"/>
      <c r="CC263" s="19"/>
      <c r="CD263" s="19"/>
    </row>
    <row r="264" spans="80:82" x14ac:dyDescent="0.15">
      <c r="CB264" s="19"/>
      <c r="CC264" s="19"/>
      <c r="CD264" s="19"/>
    </row>
    <row r="265" spans="80:82" x14ac:dyDescent="0.15">
      <c r="CB265" s="19"/>
      <c r="CC265" s="19"/>
      <c r="CD265" s="19"/>
    </row>
    <row r="266" spans="80:82" x14ac:dyDescent="0.15">
      <c r="CB266" s="19"/>
      <c r="CC266" s="19"/>
      <c r="CD266" s="19"/>
    </row>
    <row r="267" spans="80:82" x14ac:dyDescent="0.15">
      <c r="CB267" s="19"/>
      <c r="CC267" s="19"/>
      <c r="CD267" s="19"/>
    </row>
    <row r="268" spans="80:82" x14ac:dyDescent="0.15">
      <c r="CB268" s="19"/>
      <c r="CC268" s="19"/>
      <c r="CD268" s="19"/>
    </row>
    <row r="269" spans="80:82" x14ac:dyDescent="0.15">
      <c r="CB269" s="19"/>
      <c r="CC269" s="19"/>
      <c r="CD269" s="19"/>
    </row>
    <row r="270" spans="80:82" x14ac:dyDescent="0.15">
      <c r="CB270" s="19"/>
      <c r="CC270" s="19"/>
      <c r="CD270" s="19"/>
    </row>
    <row r="271" spans="80:82" x14ac:dyDescent="0.15">
      <c r="CB271" s="19"/>
      <c r="CC271" s="19"/>
      <c r="CD271" s="19"/>
    </row>
    <row r="272" spans="80:82" x14ac:dyDescent="0.15">
      <c r="CB272" s="19"/>
      <c r="CC272" s="19"/>
      <c r="CD272" s="19"/>
    </row>
    <row r="273" spans="80:82" x14ac:dyDescent="0.15">
      <c r="CB273" s="19"/>
      <c r="CC273" s="19"/>
      <c r="CD273" s="19"/>
    </row>
    <row r="274" spans="80:82" x14ac:dyDescent="0.15">
      <c r="CB274" s="19"/>
      <c r="CC274" s="19"/>
      <c r="CD274" s="19"/>
    </row>
    <row r="275" spans="80:82" x14ac:dyDescent="0.15">
      <c r="CB275" s="19"/>
      <c r="CC275" s="19"/>
      <c r="CD275" s="19"/>
    </row>
    <row r="276" spans="80:82" x14ac:dyDescent="0.15">
      <c r="CB276" s="19"/>
      <c r="CC276" s="19"/>
      <c r="CD276" s="19"/>
    </row>
    <row r="277" spans="80:82" x14ac:dyDescent="0.15">
      <c r="CB277" s="19"/>
      <c r="CC277" s="19"/>
      <c r="CD277" s="19"/>
    </row>
    <row r="278" spans="80:82" x14ac:dyDescent="0.15">
      <c r="CB278" s="19"/>
      <c r="CC278" s="19"/>
      <c r="CD278" s="19"/>
    </row>
    <row r="279" spans="80:82" x14ac:dyDescent="0.15">
      <c r="CB279" s="19"/>
      <c r="CC279" s="19"/>
      <c r="CD279" s="19"/>
    </row>
    <row r="280" spans="80:82" x14ac:dyDescent="0.15">
      <c r="CB280" s="19"/>
      <c r="CC280" s="19"/>
      <c r="CD280" s="19"/>
    </row>
    <row r="281" spans="80:82" x14ac:dyDescent="0.15">
      <c r="CB281" s="19"/>
      <c r="CC281" s="19"/>
      <c r="CD281" s="19"/>
    </row>
    <row r="282" spans="80:82" x14ac:dyDescent="0.15">
      <c r="CB282" s="19"/>
      <c r="CC282" s="19"/>
      <c r="CD282" s="19"/>
    </row>
    <row r="283" spans="80:82" x14ac:dyDescent="0.15">
      <c r="CB283" s="19"/>
      <c r="CC283" s="19"/>
      <c r="CD283" s="19"/>
    </row>
    <row r="284" spans="80:82" x14ac:dyDescent="0.15">
      <c r="CB284" s="19"/>
      <c r="CC284" s="19"/>
      <c r="CD284" s="19"/>
    </row>
    <row r="285" spans="80:82" x14ac:dyDescent="0.15">
      <c r="CB285" s="19"/>
      <c r="CC285" s="19"/>
      <c r="CD285" s="19"/>
    </row>
    <row r="286" spans="80:82" x14ac:dyDescent="0.15">
      <c r="CB286" s="19"/>
      <c r="CC286" s="19"/>
      <c r="CD286" s="19"/>
    </row>
    <row r="287" spans="80:82" x14ac:dyDescent="0.15">
      <c r="CB287" s="19"/>
      <c r="CC287" s="19"/>
      <c r="CD287" s="19"/>
    </row>
    <row r="288" spans="80:82" x14ac:dyDescent="0.15">
      <c r="CB288" s="19"/>
      <c r="CC288" s="19"/>
      <c r="CD288" s="19"/>
    </row>
    <row r="289" spans="80:82" x14ac:dyDescent="0.15">
      <c r="CB289" s="19"/>
      <c r="CC289" s="19"/>
      <c r="CD289" s="19"/>
    </row>
    <row r="290" spans="80:82" x14ac:dyDescent="0.15">
      <c r="CB290" s="19"/>
      <c r="CC290" s="19"/>
      <c r="CD290" s="19"/>
    </row>
    <row r="291" spans="80:82" x14ac:dyDescent="0.15">
      <c r="CB291" s="19"/>
      <c r="CC291" s="19"/>
      <c r="CD291" s="19"/>
    </row>
    <row r="292" spans="80:82" x14ac:dyDescent="0.15">
      <c r="CB292" s="19"/>
      <c r="CC292" s="19"/>
      <c r="CD292" s="19"/>
    </row>
    <row r="293" spans="80:82" x14ac:dyDescent="0.15">
      <c r="CB293" s="19"/>
      <c r="CC293" s="19"/>
      <c r="CD293" s="19"/>
    </row>
    <row r="294" spans="80:82" x14ac:dyDescent="0.15">
      <c r="CB294" s="19"/>
      <c r="CC294" s="19"/>
      <c r="CD294" s="19"/>
    </row>
    <row r="295" spans="80:82" x14ac:dyDescent="0.15">
      <c r="CB295" s="19"/>
      <c r="CC295" s="19"/>
      <c r="CD295" s="19"/>
    </row>
    <row r="296" spans="80:82" x14ac:dyDescent="0.15">
      <c r="CB296" s="19"/>
      <c r="CC296" s="19"/>
      <c r="CD296" s="19"/>
    </row>
    <row r="297" spans="80:82" x14ac:dyDescent="0.15">
      <c r="CB297" s="19"/>
      <c r="CC297" s="19"/>
      <c r="CD297" s="19"/>
    </row>
    <row r="298" spans="80:82" x14ac:dyDescent="0.15">
      <c r="CB298" s="19"/>
      <c r="CC298" s="19"/>
      <c r="CD298" s="19"/>
    </row>
    <row r="299" spans="80:82" x14ac:dyDescent="0.15">
      <c r="CB299" s="19"/>
      <c r="CC299" s="19"/>
      <c r="CD299" s="19"/>
    </row>
    <row r="300" spans="80:82" x14ac:dyDescent="0.15">
      <c r="CB300" s="19"/>
      <c r="CC300" s="19"/>
      <c r="CD300" s="19"/>
    </row>
    <row r="301" spans="80:82" x14ac:dyDescent="0.15">
      <c r="CB301" s="19"/>
      <c r="CC301" s="19"/>
      <c r="CD301" s="19"/>
    </row>
    <row r="302" spans="80:82" x14ac:dyDescent="0.15">
      <c r="CB302" s="19"/>
      <c r="CC302" s="19"/>
      <c r="CD302" s="19"/>
    </row>
    <row r="303" spans="80:82" x14ac:dyDescent="0.15">
      <c r="CB303" s="19"/>
      <c r="CC303" s="19"/>
      <c r="CD303" s="19"/>
    </row>
    <row r="304" spans="80:82" x14ac:dyDescent="0.15">
      <c r="CB304" s="19"/>
      <c r="CC304" s="19"/>
      <c r="CD304" s="19"/>
    </row>
    <row r="305" spans="80:82" x14ac:dyDescent="0.15">
      <c r="CB305" s="19"/>
      <c r="CC305" s="19"/>
      <c r="CD305" s="19"/>
    </row>
    <row r="306" spans="80:82" x14ac:dyDescent="0.15">
      <c r="CB306" s="19"/>
      <c r="CC306" s="19"/>
      <c r="CD306" s="19"/>
    </row>
    <row r="307" spans="80:82" x14ac:dyDescent="0.15">
      <c r="CB307" s="19"/>
      <c r="CC307" s="19"/>
      <c r="CD307" s="19"/>
    </row>
    <row r="308" spans="80:82" x14ac:dyDescent="0.15">
      <c r="CB308" s="19"/>
      <c r="CC308" s="19"/>
      <c r="CD308" s="19"/>
    </row>
    <row r="309" spans="80:82" x14ac:dyDescent="0.15">
      <c r="CB309" s="19"/>
      <c r="CC309" s="19"/>
      <c r="CD309" s="19"/>
    </row>
    <row r="310" spans="80:82" x14ac:dyDescent="0.15">
      <c r="CB310" s="19"/>
      <c r="CC310" s="19"/>
      <c r="CD310" s="19"/>
    </row>
    <row r="311" spans="80:82" x14ac:dyDescent="0.15">
      <c r="CB311" s="19"/>
      <c r="CC311" s="19"/>
      <c r="CD311" s="19"/>
    </row>
    <row r="312" spans="80:82" x14ac:dyDescent="0.15">
      <c r="CB312" s="19"/>
      <c r="CC312" s="19"/>
      <c r="CD312" s="19"/>
    </row>
    <row r="313" spans="80:82" x14ac:dyDescent="0.15">
      <c r="CB313" s="19"/>
      <c r="CC313" s="19"/>
      <c r="CD313" s="19"/>
    </row>
    <row r="314" spans="80:82" x14ac:dyDescent="0.15">
      <c r="CB314" s="19"/>
      <c r="CC314" s="19"/>
      <c r="CD314" s="19"/>
    </row>
    <row r="315" spans="80:82" x14ac:dyDescent="0.15">
      <c r="CB315" s="19"/>
      <c r="CC315" s="19"/>
      <c r="CD315" s="19"/>
    </row>
    <row r="316" spans="80:82" x14ac:dyDescent="0.15">
      <c r="CB316" s="19"/>
      <c r="CC316" s="19"/>
      <c r="CD316" s="19"/>
    </row>
    <row r="317" spans="80:82" x14ac:dyDescent="0.15">
      <c r="CB317" s="19"/>
      <c r="CC317" s="19"/>
      <c r="CD317" s="19"/>
    </row>
    <row r="318" spans="80:82" x14ac:dyDescent="0.15">
      <c r="CB318" s="19"/>
      <c r="CC318" s="19"/>
      <c r="CD318" s="19"/>
    </row>
    <row r="319" spans="80:82" x14ac:dyDescent="0.15">
      <c r="CB319" s="19"/>
      <c r="CC319" s="19"/>
      <c r="CD319" s="19"/>
    </row>
    <row r="320" spans="80:82" x14ac:dyDescent="0.15">
      <c r="CB320" s="19"/>
      <c r="CC320" s="19"/>
      <c r="CD320" s="19"/>
    </row>
    <row r="321" spans="80:82" x14ac:dyDescent="0.15">
      <c r="CB321" s="19"/>
      <c r="CC321" s="19"/>
      <c r="CD321" s="19"/>
    </row>
    <row r="322" spans="80:82" x14ac:dyDescent="0.15">
      <c r="CB322" s="19"/>
      <c r="CC322" s="19"/>
      <c r="CD322" s="19"/>
    </row>
    <row r="323" spans="80:82" x14ac:dyDescent="0.15">
      <c r="CB323" s="19"/>
      <c r="CC323" s="19"/>
      <c r="CD323" s="19"/>
    </row>
    <row r="324" spans="80:82" x14ac:dyDescent="0.15">
      <c r="CB324" s="19"/>
      <c r="CC324" s="19"/>
      <c r="CD324" s="19"/>
    </row>
    <row r="325" spans="80:82" x14ac:dyDescent="0.15">
      <c r="CB325" s="19"/>
      <c r="CC325" s="19"/>
      <c r="CD325" s="19"/>
    </row>
    <row r="326" spans="80:82" x14ac:dyDescent="0.15">
      <c r="CB326" s="19"/>
      <c r="CC326" s="19"/>
      <c r="CD326" s="19"/>
    </row>
    <row r="327" spans="80:82" x14ac:dyDescent="0.15">
      <c r="CB327" s="19"/>
      <c r="CC327" s="19"/>
      <c r="CD327" s="19"/>
    </row>
    <row r="328" spans="80:82" x14ac:dyDescent="0.15">
      <c r="CB328" s="19"/>
      <c r="CC328" s="19"/>
      <c r="CD328" s="19"/>
    </row>
    <row r="329" spans="80:82" x14ac:dyDescent="0.15">
      <c r="CB329" s="19"/>
      <c r="CC329" s="19"/>
      <c r="CD329" s="19"/>
    </row>
    <row r="330" spans="80:82" x14ac:dyDescent="0.15">
      <c r="CB330" s="19"/>
      <c r="CC330" s="19"/>
      <c r="CD330" s="19"/>
    </row>
    <row r="331" spans="80:82" x14ac:dyDescent="0.15">
      <c r="CB331" s="19"/>
      <c r="CC331" s="19"/>
      <c r="CD331" s="19"/>
    </row>
    <row r="332" spans="80:82" x14ac:dyDescent="0.15">
      <c r="CB332" s="19"/>
      <c r="CC332" s="19"/>
      <c r="CD332" s="19"/>
    </row>
    <row r="333" spans="80:82" x14ac:dyDescent="0.15">
      <c r="CB333" s="19"/>
      <c r="CC333" s="19"/>
      <c r="CD333" s="19"/>
    </row>
    <row r="334" spans="80:82" x14ac:dyDescent="0.15">
      <c r="CB334" s="19"/>
      <c r="CC334" s="19"/>
      <c r="CD334" s="19"/>
    </row>
    <row r="335" spans="80:82" x14ac:dyDescent="0.15">
      <c r="CB335" s="19"/>
      <c r="CC335" s="19"/>
      <c r="CD335" s="19"/>
    </row>
    <row r="336" spans="80:82" x14ac:dyDescent="0.15">
      <c r="CB336" s="19"/>
      <c r="CC336" s="19"/>
      <c r="CD336" s="19"/>
    </row>
    <row r="337" spans="80:82" x14ac:dyDescent="0.15">
      <c r="CB337" s="19"/>
      <c r="CC337" s="19"/>
      <c r="CD337" s="19"/>
    </row>
    <row r="338" spans="80:82" x14ac:dyDescent="0.15">
      <c r="CB338" s="19"/>
      <c r="CC338" s="19"/>
      <c r="CD338" s="19"/>
    </row>
    <row r="339" spans="80:82" x14ac:dyDescent="0.15">
      <c r="CB339" s="19"/>
      <c r="CC339" s="19"/>
      <c r="CD339" s="19"/>
    </row>
    <row r="340" spans="80:82" x14ac:dyDescent="0.15">
      <c r="CB340" s="19"/>
      <c r="CC340" s="19"/>
      <c r="CD340" s="19"/>
    </row>
    <row r="341" spans="80:82" x14ac:dyDescent="0.15">
      <c r="CB341" s="19"/>
      <c r="CC341" s="19"/>
      <c r="CD341" s="19"/>
    </row>
    <row r="342" spans="80:82" x14ac:dyDescent="0.15">
      <c r="CB342" s="19"/>
      <c r="CC342" s="19"/>
      <c r="CD342" s="19"/>
    </row>
    <row r="343" spans="80:82" x14ac:dyDescent="0.15">
      <c r="CB343" s="19"/>
      <c r="CC343" s="19"/>
      <c r="CD343" s="19"/>
    </row>
    <row r="344" spans="80:82" x14ac:dyDescent="0.15">
      <c r="CB344" s="19"/>
      <c r="CC344" s="19"/>
      <c r="CD344" s="19"/>
    </row>
    <row r="345" spans="80:82" x14ac:dyDescent="0.15">
      <c r="CB345" s="19"/>
      <c r="CC345" s="19"/>
      <c r="CD345" s="19"/>
    </row>
    <row r="346" spans="80:82" x14ac:dyDescent="0.15">
      <c r="CB346" s="19"/>
      <c r="CC346" s="19"/>
      <c r="CD346" s="19"/>
    </row>
    <row r="347" spans="80:82" x14ac:dyDescent="0.15">
      <c r="CB347" s="19"/>
      <c r="CC347" s="19"/>
      <c r="CD347" s="19"/>
    </row>
    <row r="348" spans="80:82" x14ac:dyDescent="0.15">
      <c r="CB348" s="19"/>
      <c r="CC348" s="19"/>
      <c r="CD348" s="19"/>
    </row>
    <row r="349" spans="80:82" x14ac:dyDescent="0.15">
      <c r="CB349" s="19"/>
      <c r="CC349" s="19"/>
      <c r="CD349" s="19"/>
    </row>
    <row r="350" spans="80:82" x14ac:dyDescent="0.15">
      <c r="CB350" s="19"/>
      <c r="CC350" s="19"/>
      <c r="CD350" s="19"/>
    </row>
    <row r="351" spans="80:82" x14ac:dyDescent="0.15">
      <c r="CB351" s="19"/>
      <c r="CC351" s="19"/>
      <c r="CD351" s="19"/>
    </row>
    <row r="352" spans="80:82" x14ac:dyDescent="0.15">
      <c r="CB352" s="19"/>
      <c r="CC352" s="19"/>
      <c r="CD352" s="19"/>
    </row>
    <row r="353" spans="80:82" x14ac:dyDescent="0.15">
      <c r="CB353" s="19"/>
      <c r="CC353" s="19"/>
      <c r="CD353" s="19"/>
    </row>
    <row r="354" spans="80:82" x14ac:dyDescent="0.15">
      <c r="CB354" s="19"/>
      <c r="CC354" s="19"/>
      <c r="CD354" s="19"/>
    </row>
    <row r="355" spans="80:82" x14ac:dyDescent="0.15">
      <c r="CB355" s="19"/>
      <c r="CC355" s="19"/>
      <c r="CD355" s="19"/>
    </row>
    <row r="356" spans="80:82" x14ac:dyDescent="0.15">
      <c r="CB356" s="19"/>
      <c r="CC356" s="19"/>
      <c r="CD356" s="19"/>
    </row>
    <row r="357" spans="80:82" x14ac:dyDescent="0.15">
      <c r="CB357" s="19"/>
      <c r="CC357" s="19"/>
      <c r="CD357" s="19"/>
    </row>
    <row r="358" spans="80:82" x14ac:dyDescent="0.15">
      <c r="CB358" s="19"/>
      <c r="CC358" s="19"/>
      <c r="CD358" s="19"/>
    </row>
    <row r="359" spans="80:82" x14ac:dyDescent="0.15">
      <c r="CB359" s="19"/>
      <c r="CC359" s="19"/>
      <c r="CD359" s="19"/>
    </row>
    <row r="360" spans="80:82" x14ac:dyDescent="0.15">
      <c r="CB360" s="19"/>
      <c r="CC360" s="19"/>
      <c r="CD360" s="19"/>
    </row>
    <row r="361" spans="80:82" x14ac:dyDescent="0.15">
      <c r="CB361" s="19"/>
      <c r="CC361" s="19"/>
      <c r="CD361" s="19"/>
    </row>
    <row r="362" spans="80:82" x14ac:dyDescent="0.15">
      <c r="CB362" s="19"/>
      <c r="CC362" s="19"/>
      <c r="CD362" s="19"/>
    </row>
    <row r="363" spans="80:82" x14ac:dyDescent="0.15">
      <c r="CB363" s="19"/>
      <c r="CC363" s="19"/>
      <c r="CD363" s="19"/>
    </row>
    <row r="364" spans="80:82" x14ac:dyDescent="0.15">
      <c r="CB364" s="19"/>
      <c r="CC364" s="19"/>
      <c r="CD364" s="19"/>
    </row>
    <row r="365" spans="80:82" x14ac:dyDescent="0.15">
      <c r="CB365" s="19"/>
      <c r="CC365" s="19"/>
      <c r="CD365" s="19"/>
    </row>
    <row r="366" spans="80:82" x14ac:dyDescent="0.15">
      <c r="CB366" s="19"/>
      <c r="CC366" s="19"/>
      <c r="CD366" s="19"/>
    </row>
    <row r="367" spans="80:82" x14ac:dyDescent="0.15">
      <c r="CB367" s="19"/>
      <c r="CC367" s="19"/>
      <c r="CD367" s="19"/>
    </row>
    <row r="368" spans="80:82" x14ac:dyDescent="0.15">
      <c r="CB368" s="19"/>
      <c r="CC368" s="19"/>
      <c r="CD368" s="19"/>
    </row>
    <row r="369" spans="80:82" x14ac:dyDescent="0.15">
      <c r="CB369" s="19"/>
      <c r="CC369" s="19"/>
      <c r="CD369" s="19"/>
    </row>
    <row r="370" spans="80:82" x14ac:dyDescent="0.15">
      <c r="CB370" s="19"/>
      <c r="CC370" s="19"/>
      <c r="CD370" s="19"/>
    </row>
    <row r="371" spans="80:82" x14ac:dyDescent="0.15">
      <c r="CB371" s="19"/>
      <c r="CC371" s="19"/>
      <c r="CD371" s="19"/>
    </row>
    <row r="372" spans="80:82" x14ac:dyDescent="0.15">
      <c r="CB372" s="19"/>
      <c r="CC372" s="19"/>
      <c r="CD372" s="19"/>
    </row>
    <row r="373" spans="80:82" x14ac:dyDescent="0.15">
      <c r="CB373" s="19"/>
      <c r="CC373" s="19"/>
      <c r="CD373" s="19"/>
    </row>
    <row r="374" spans="80:82" x14ac:dyDescent="0.15">
      <c r="CB374" s="19"/>
      <c r="CC374" s="19"/>
      <c r="CD374" s="19"/>
    </row>
    <row r="375" spans="80:82" x14ac:dyDescent="0.15">
      <c r="CB375" s="19"/>
      <c r="CC375" s="19"/>
      <c r="CD375" s="19"/>
    </row>
    <row r="376" spans="80:82" x14ac:dyDescent="0.15">
      <c r="CB376" s="19"/>
      <c r="CC376" s="19"/>
      <c r="CD376" s="19"/>
    </row>
    <row r="377" spans="80:82" x14ac:dyDescent="0.15">
      <c r="CB377" s="19"/>
      <c r="CC377" s="19"/>
      <c r="CD377" s="19"/>
    </row>
    <row r="378" spans="80:82" x14ac:dyDescent="0.15">
      <c r="CB378" s="19"/>
      <c r="CC378" s="19"/>
      <c r="CD378" s="19"/>
    </row>
    <row r="379" spans="80:82" x14ac:dyDescent="0.15">
      <c r="CB379" s="19"/>
      <c r="CC379" s="19"/>
      <c r="CD379" s="19"/>
    </row>
    <row r="380" spans="80:82" x14ac:dyDescent="0.15">
      <c r="CB380" s="19"/>
      <c r="CC380" s="19"/>
      <c r="CD380" s="19"/>
    </row>
    <row r="381" spans="80:82" x14ac:dyDescent="0.15">
      <c r="CB381" s="19"/>
      <c r="CC381" s="19"/>
      <c r="CD381" s="19"/>
    </row>
    <row r="382" spans="80:82" x14ac:dyDescent="0.15">
      <c r="CB382" s="19"/>
      <c r="CC382" s="19"/>
      <c r="CD382" s="19"/>
    </row>
    <row r="383" spans="80:82" x14ac:dyDescent="0.15">
      <c r="CB383" s="19"/>
      <c r="CC383" s="19"/>
      <c r="CD383" s="19"/>
    </row>
    <row r="384" spans="80:82" x14ac:dyDescent="0.15">
      <c r="CB384" s="19"/>
      <c r="CC384" s="19"/>
      <c r="CD384" s="19"/>
    </row>
    <row r="385" spans="80:82" x14ac:dyDescent="0.15">
      <c r="CB385" s="19"/>
      <c r="CC385" s="19"/>
      <c r="CD385" s="19"/>
    </row>
    <row r="386" spans="80:82" x14ac:dyDescent="0.15">
      <c r="CB386" s="19"/>
      <c r="CC386" s="19"/>
      <c r="CD386" s="19"/>
    </row>
    <row r="387" spans="80:82" x14ac:dyDescent="0.15">
      <c r="CB387" s="19"/>
      <c r="CC387" s="19"/>
      <c r="CD387" s="19"/>
    </row>
    <row r="388" spans="80:82" x14ac:dyDescent="0.15">
      <c r="CB388" s="19"/>
      <c r="CC388" s="19"/>
      <c r="CD388" s="19"/>
    </row>
    <row r="389" spans="80:82" x14ac:dyDescent="0.15">
      <c r="CB389" s="19"/>
      <c r="CC389" s="19"/>
      <c r="CD389" s="19"/>
    </row>
    <row r="390" spans="80:82" x14ac:dyDescent="0.15">
      <c r="CB390" s="19"/>
      <c r="CC390" s="19"/>
      <c r="CD390" s="19"/>
    </row>
    <row r="391" spans="80:82" x14ac:dyDescent="0.15">
      <c r="CB391" s="19"/>
      <c r="CC391" s="19"/>
      <c r="CD391" s="19"/>
    </row>
    <row r="392" spans="80:82" x14ac:dyDescent="0.15">
      <c r="CB392" s="19"/>
      <c r="CC392" s="19"/>
      <c r="CD392" s="19"/>
    </row>
    <row r="393" spans="80:82" x14ac:dyDescent="0.15">
      <c r="CB393" s="19"/>
      <c r="CC393" s="19"/>
      <c r="CD393" s="19"/>
    </row>
    <row r="394" spans="80:82" x14ac:dyDescent="0.15">
      <c r="CB394" s="19"/>
      <c r="CC394" s="19"/>
      <c r="CD394" s="19"/>
    </row>
    <row r="395" spans="80:82" x14ac:dyDescent="0.15">
      <c r="CB395" s="19"/>
      <c r="CC395" s="19"/>
      <c r="CD395" s="19"/>
    </row>
    <row r="396" spans="80:82" x14ac:dyDescent="0.15">
      <c r="CB396" s="19"/>
      <c r="CC396" s="19"/>
      <c r="CD396" s="19"/>
    </row>
    <row r="397" spans="80:82" x14ac:dyDescent="0.15">
      <c r="CB397" s="19"/>
      <c r="CC397" s="19"/>
      <c r="CD397" s="19"/>
    </row>
    <row r="398" spans="80:82" x14ac:dyDescent="0.15">
      <c r="CB398" s="19"/>
      <c r="CC398" s="19"/>
      <c r="CD398" s="19"/>
    </row>
    <row r="399" spans="80:82" x14ac:dyDescent="0.15">
      <c r="CB399" s="19"/>
      <c r="CC399" s="19"/>
      <c r="CD399" s="19"/>
    </row>
    <row r="400" spans="80:82" x14ac:dyDescent="0.15">
      <c r="CB400" s="19"/>
      <c r="CC400" s="19"/>
      <c r="CD400" s="19"/>
    </row>
    <row r="401" spans="80:82" x14ac:dyDescent="0.15">
      <c r="CB401" s="19"/>
      <c r="CC401" s="19"/>
      <c r="CD401" s="19"/>
    </row>
    <row r="402" spans="80:82" x14ac:dyDescent="0.15">
      <c r="CB402" s="19"/>
      <c r="CC402" s="19"/>
      <c r="CD402" s="19"/>
    </row>
    <row r="403" spans="80:82" x14ac:dyDescent="0.15">
      <c r="CB403" s="19"/>
      <c r="CC403" s="19"/>
      <c r="CD403" s="19"/>
    </row>
    <row r="404" spans="80:82" x14ac:dyDescent="0.15">
      <c r="CB404" s="19"/>
      <c r="CC404" s="19"/>
      <c r="CD404" s="19"/>
    </row>
    <row r="405" spans="80:82" x14ac:dyDescent="0.15">
      <c r="CB405" s="19"/>
      <c r="CC405" s="19"/>
      <c r="CD405" s="19"/>
    </row>
    <row r="406" spans="80:82" x14ac:dyDescent="0.15">
      <c r="CB406" s="19"/>
      <c r="CC406" s="19"/>
      <c r="CD406" s="19"/>
    </row>
    <row r="407" spans="80:82" x14ac:dyDescent="0.15">
      <c r="CB407" s="19"/>
      <c r="CC407" s="19"/>
      <c r="CD407" s="19"/>
    </row>
    <row r="408" spans="80:82" x14ac:dyDescent="0.15">
      <c r="CB408" s="19"/>
      <c r="CC408" s="19"/>
      <c r="CD408" s="19"/>
    </row>
    <row r="409" spans="80:82" x14ac:dyDescent="0.15">
      <c r="CB409" s="19"/>
      <c r="CC409" s="19"/>
      <c r="CD409" s="19"/>
    </row>
    <row r="410" spans="80:82" x14ac:dyDescent="0.15">
      <c r="CB410" s="19"/>
      <c r="CC410" s="19"/>
      <c r="CD410" s="19"/>
    </row>
    <row r="411" spans="80:82" x14ac:dyDescent="0.15">
      <c r="CB411" s="19"/>
      <c r="CC411" s="19"/>
      <c r="CD411" s="19"/>
    </row>
    <row r="412" spans="80:82" x14ac:dyDescent="0.15">
      <c r="CB412" s="19"/>
      <c r="CC412" s="19"/>
      <c r="CD412" s="19"/>
    </row>
    <row r="413" spans="80:82" x14ac:dyDescent="0.15">
      <c r="CB413" s="19"/>
      <c r="CC413" s="19"/>
      <c r="CD413" s="19"/>
    </row>
    <row r="414" spans="80:82" x14ac:dyDescent="0.15">
      <c r="CB414" s="19"/>
      <c r="CC414" s="19"/>
      <c r="CD414" s="19"/>
    </row>
    <row r="415" spans="80:82" x14ac:dyDescent="0.15">
      <c r="CB415" s="19"/>
      <c r="CC415" s="19"/>
      <c r="CD415" s="19"/>
    </row>
    <row r="416" spans="80:82" x14ac:dyDescent="0.15">
      <c r="CB416" s="19"/>
      <c r="CC416" s="19"/>
      <c r="CD416" s="19"/>
    </row>
    <row r="417" spans="80:82" x14ac:dyDescent="0.15">
      <c r="CB417" s="19"/>
      <c r="CC417" s="19"/>
      <c r="CD417" s="19"/>
    </row>
    <row r="418" spans="80:82" x14ac:dyDescent="0.15">
      <c r="CB418" s="19"/>
      <c r="CC418" s="19"/>
      <c r="CD418" s="19"/>
    </row>
    <row r="419" spans="80:82" x14ac:dyDescent="0.15">
      <c r="CB419" s="19"/>
      <c r="CC419" s="19"/>
      <c r="CD419" s="19"/>
    </row>
    <row r="420" spans="80:82" x14ac:dyDescent="0.15">
      <c r="CB420" s="19"/>
      <c r="CC420" s="19"/>
      <c r="CD420" s="19"/>
    </row>
    <row r="421" spans="80:82" x14ac:dyDescent="0.15">
      <c r="CB421" s="19"/>
      <c r="CC421" s="19"/>
      <c r="CD421" s="19"/>
    </row>
    <row r="422" spans="80:82" x14ac:dyDescent="0.15">
      <c r="CB422" s="19"/>
      <c r="CC422" s="19"/>
      <c r="CD422" s="19"/>
    </row>
    <row r="423" spans="80:82" x14ac:dyDescent="0.15">
      <c r="CB423" s="19"/>
      <c r="CC423" s="19"/>
      <c r="CD423" s="19"/>
    </row>
    <row r="424" spans="80:82" x14ac:dyDescent="0.15">
      <c r="CB424" s="19"/>
      <c r="CC424" s="19"/>
      <c r="CD424" s="19"/>
    </row>
    <row r="425" spans="80:82" x14ac:dyDescent="0.15">
      <c r="CB425" s="19"/>
      <c r="CC425" s="19"/>
      <c r="CD425" s="19"/>
    </row>
    <row r="426" spans="80:82" x14ac:dyDescent="0.15">
      <c r="CB426" s="19"/>
      <c r="CC426" s="19"/>
      <c r="CD426" s="19"/>
    </row>
    <row r="427" spans="80:82" x14ac:dyDescent="0.15">
      <c r="CB427" s="19"/>
      <c r="CC427" s="19"/>
      <c r="CD427" s="19"/>
    </row>
    <row r="428" spans="80:82" x14ac:dyDescent="0.15">
      <c r="CB428" s="19"/>
      <c r="CC428" s="19"/>
      <c r="CD428" s="19"/>
    </row>
    <row r="429" spans="80:82" x14ac:dyDescent="0.15">
      <c r="CB429" s="19"/>
      <c r="CC429" s="19"/>
      <c r="CD429" s="19"/>
    </row>
    <row r="430" spans="80:82" x14ac:dyDescent="0.15">
      <c r="CB430" s="19"/>
      <c r="CC430" s="19"/>
      <c r="CD430" s="19"/>
    </row>
    <row r="431" spans="80:82" x14ac:dyDescent="0.15">
      <c r="CB431" s="19"/>
      <c r="CC431" s="19"/>
      <c r="CD431" s="19"/>
    </row>
    <row r="432" spans="80:82" x14ac:dyDescent="0.15">
      <c r="CB432" s="19"/>
      <c r="CC432" s="19"/>
      <c r="CD432" s="19"/>
    </row>
    <row r="433" spans="80:82" x14ac:dyDescent="0.15">
      <c r="CB433" s="19"/>
      <c r="CC433" s="19"/>
      <c r="CD433" s="19"/>
    </row>
    <row r="434" spans="80:82" x14ac:dyDescent="0.15">
      <c r="CB434" s="19"/>
      <c r="CC434" s="19"/>
      <c r="CD434" s="19"/>
    </row>
    <row r="435" spans="80:82" x14ac:dyDescent="0.15">
      <c r="CB435" s="19"/>
      <c r="CC435" s="19"/>
      <c r="CD435" s="19"/>
    </row>
    <row r="436" spans="80:82" x14ac:dyDescent="0.15">
      <c r="CB436" s="19"/>
      <c r="CC436" s="19"/>
      <c r="CD436" s="19"/>
    </row>
    <row r="437" spans="80:82" x14ac:dyDescent="0.15">
      <c r="CB437" s="19"/>
      <c r="CC437" s="19"/>
      <c r="CD437" s="19"/>
    </row>
    <row r="438" spans="80:82" x14ac:dyDescent="0.15">
      <c r="CB438" s="19"/>
      <c r="CC438" s="19"/>
      <c r="CD438" s="19"/>
    </row>
    <row r="439" spans="80:82" x14ac:dyDescent="0.15">
      <c r="CB439" s="19"/>
      <c r="CC439" s="19"/>
      <c r="CD439" s="19"/>
    </row>
    <row r="440" spans="80:82" x14ac:dyDescent="0.15">
      <c r="CB440" s="19"/>
      <c r="CC440" s="19"/>
      <c r="CD440" s="19"/>
    </row>
    <row r="441" spans="80:82" x14ac:dyDescent="0.15">
      <c r="CB441" s="19"/>
      <c r="CC441" s="19"/>
      <c r="CD441" s="19"/>
    </row>
    <row r="442" spans="80:82" x14ac:dyDescent="0.15">
      <c r="CB442" s="19"/>
      <c r="CC442" s="19"/>
      <c r="CD442" s="19"/>
    </row>
    <row r="443" spans="80:82" x14ac:dyDescent="0.15">
      <c r="CB443" s="19"/>
      <c r="CC443" s="19"/>
      <c r="CD443" s="19"/>
    </row>
    <row r="444" spans="80:82" x14ac:dyDescent="0.15">
      <c r="CB444" s="19"/>
      <c r="CC444" s="19"/>
      <c r="CD444" s="19"/>
    </row>
    <row r="445" spans="80:82" x14ac:dyDescent="0.15">
      <c r="CB445" s="19"/>
      <c r="CC445" s="19"/>
      <c r="CD445" s="19"/>
    </row>
    <row r="446" spans="80:82" x14ac:dyDescent="0.15">
      <c r="CB446" s="19"/>
      <c r="CC446" s="19"/>
      <c r="CD446" s="19"/>
    </row>
    <row r="447" spans="80:82" x14ac:dyDescent="0.15">
      <c r="CB447" s="19"/>
      <c r="CC447" s="19"/>
      <c r="CD447" s="19"/>
    </row>
    <row r="448" spans="80:82" x14ac:dyDescent="0.15">
      <c r="CB448" s="19"/>
      <c r="CC448" s="19"/>
      <c r="CD448" s="19"/>
    </row>
    <row r="449" spans="80:82" x14ac:dyDescent="0.15">
      <c r="CB449" s="19"/>
      <c r="CC449" s="19"/>
      <c r="CD449" s="19"/>
    </row>
    <row r="450" spans="80:82" x14ac:dyDescent="0.15">
      <c r="CB450" s="19"/>
      <c r="CC450" s="19"/>
      <c r="CD450" s="19"/>
    </row>
    <row r="451" spans="80:82" x14ac:dyDescent="0.15">
      <c r="CB451" s="19"/>
      <c r="CC451" s="19"/>
      <c r="CD451" s="19"/>
    </row>
    <row r="452" spans="80:82" x14ac:dyDescent="0.15">
      <c r="CB452" s="19"/>
      <c r="CC452" s="19"/>
      <c r="CD452" s="19"/>
    </row>
    <row r="453" spans="80:82" x14ac:dyDescent="0.15">
      <c r="CB453" s="19"/>
      <c r="CC453" s="19"/>
      <c r="CD453" s="19"/>
    </row>
    <row r="454" spans="80:82" x14ac:dyDescent="0.15">
      <c r="CB454" s="19"/>
      <c r="CC454" s="19"/>
      <c r="CD454" s="19"/>
    </row>
    <row r="455" spans="80:82" x14ac:dyDescent="0.15">
      <c r="CB455" s="19"/>
      <c r="CC455" s="19"/>
      <c r="CD455" s="19"/>
    </row>
    <row r="456" spans="80:82" x14ac:dyDescent="0.15">
      <c r="CB456" s="19"/>
      <c r="CC456" s="19"/>
      <c r="CD456" s="19"/>
    </row>
    <row r="457" spans="80:82" x14ac:dyDescent="0.15">
      <c r="CB457" s="19"/>
      <c r="CC457" s="19"/>
      <c r="CD457" s="19"/>
    </row>
    <row r="458" spans="80:82" x14ac:dyDescent="0.15">
      <c r="CB458" s="19"/>
      <c r="CC458" s="19"/>
      <c r="CD458" s="19"/>
    </row>
    <row r="459" spans="80:82" x14ac:dyDescent="0.15">
      <c r="CB459" s="19"/>
      <c r="CC459" s="19"/>
      <c r="CD459" s="19"/>
    </row>
    <row r="460" spans="80:82" x14ac:dyDescent="0.15">
      <c r="CB460" s="19"/>
      <c r="CC460" s="19"/>
      <c r="CD460" s="19"/>
    </row>
    <row r="461" spans="80:82" x14ac:dyDescent="0.15">
      <c r="CB461" s="19"/>
      <c r="CC461" s="19"/>
      <c r="CD461" s="19"/>
    </row>
    <row r="462" spans="80:82" x14ac:dyDescent="0.15">
      <c r="CB462" s="19"/>
      <c r="CC462" s="19"/>
      <c r="CD462" s="19"/>
    </row>
    <row r="463" spans="80:82" x14ac:dyDescent="0.15">
      <c r="CB463" s="19"/>
      <c r="CC463" s="19"/>
      <c r="CD463" s="19"/>
    </row>
    <row r="464" spans="80:82" x14ac:dyDescent="0.15">
      <c r="CB464" s="19"/>
      <c r="CC464" s="19"/>
      <c r="CD464" s="19"/>
    </row>
    <row r="465" spans="80:82" x14ac:dyDescent="0.15">
      <c r="CB465" s="19"/>
      <c r="CC465" s="19"/>
      <c r="CD465" s="19"/>
    </row>
    <row r="466" spans="80:82" x14ac:dyDescent="0.15">
      <c r="CB466" s="19"/>
      <c r="CC466" s="19"/>
      <c r="CD466" s="19"/>
    </row>
    <row r="467" spans="80:82" x14ac:dyDescent="0.15">
      <c r="CB467" s="19"/>
      <c r="CC467" s="19"/>
      <c r="CD467" s="19"/>
    </row>
    <row r="468" spans="80:82" x14ac:dyDescent="0.15">
      <c r="CB468" s="19"/>
      <c r="CC468" s="19"/>
      <c r="CD468" s="19"/>
    </row>
    <row r="469" spans="80:82" x14ac:dyDescent="0.15">
      <c r="CB469" s="19"/>
      <c r="CC469" s="19"/>
      <c r="CD469" s="19"/>
    </row>
    <row r="470" spans="80:82" x14ac:dyDescent="0.15">
      <c r="CB470" s="19"/>
      <c r="CC470" s="19"/>
      <c r="CD470" s="19"/>
    </row>
    <row r="471" spans="80:82" x14ac:dyDescent="0.15">
      <c r="CB471" s="19"/>
      <c r="CC471" s="19"/>
      <c r="CD471" s="19"/>
    </row>
    <row r="472" spans="80:82" x14ac:dyDescent="0.15">
      <c r="CB472" s="19"/>
      <c r="CC472" s="19"/>
      <c r="CD472" s="19"/>
    </row>
    <row r="473" spans="80:82" x14ac:dyDescent="0.15">
      <c r="CB473" s="19"/>
      <c r="CC473" s="19"/>
      <c r="CD473" s="19"/>
    </row>
    <row r="474" spans="80:82" x14ac:dyDescent="0.15">
      <c r="CB474" s="19"/>
      <c r="CC474" s="19"/>
      <c r="CD474" s="19"/>
    </row>
    <row r="475" spans="80:82" x14ac:dyDescent="0.15">
      <c r="CB475" s="19"/>
      <c r="CC475" s="19"/>
      <c r="CD475" s="19"/>
    </row>
    <row r="476" spans="80:82" x14ac:dyDescent="0.15">
      <c r="CB476" s="19"/>
      <c r="CC476" s="19"/>
      <c r="CD476" s="19"/>
    </row>
    <row r="477" spans="80:82" x14ac:dyDescent="0.15">
      <c r="CB477" s="19"/>
      <c r="CC477" s="19"/>
      <c r="CD477" s="19"/>
    </row>
    <row r="478" spans="80:82" x14ac:dyDescent="0.15">
      <c r="CB478" s="19"/>
      <c r="CC478" s="19"/>
      <c r="CD478" s="19"/>
    </row>
    <row r="479" spans="80:82" x14ac:dyDescent="0.15">
      <c r="CB479" s="19"/>
      <c r="CC479" s="19"/>
      <c r="CD479" s="19"/>
    </row>
    <row r="480" spans="80:82" x14ac:dyDescent="0.15">
      <c r="CB480" s="19"/>
      <c r="CC480" s="19"/>
      <c r="CD480" s="19"/>
    </row>
    <row r="481" spans="80:82" x14ac:dyDescent="0.15">
      <c r="CB481" s="19"/>
      <c r="CC481" s="19"/>
      <c r="CD481" s="19"/>
    </row>
    <row r="482" spans="80:82" x14ac:dyDescent="0.15">
      <c r="CB482" s="19"/>
      <c r="CC482" s="19"/>
      <c r="CD482" s="19"/>
    </row>
    <row r="483" spans="80:82" x14ac:dyDescent="0.15">
      <c r="CB483" s="19"/>
      <c r="CC483" s="19"/>
      <c r="CD483" s="19"/>
    </row>
    <row r="484" spans="80:82" x14ac:dyDescent="0.15">
      <c r="CB484" s="19"/>
      <c r="CC484" s="19"/>
      <c r="CD484" s="19"/>
    </row>
    <row r="485" spans="80:82" x14ac:dyDescent="0.15">
      <c r="CB485" s="19"/>
      <c r="CC485" s="19"/>
      <c r="CD485" s="19"/>
    </row>
    <row r="486" spans="80:82" x14ac:dyDescent="0.15">
      <c r="CB486" s="19"/>
      <c r="CC486" s="19"/>
      <c r="CD486" s="19"/>
    </row>
    <row r="487" spans="80:82" x14ac:dyDescent="0.15">
      <c r="CB487" s="19"/>
      <c r="CC487" s="19"/>
      <c r="CD487" s="19"/>
    </row>
    <row r="488" spans="80:82" x14ac:dyDescent="0.15">
      <c r="CB488" s="19"/>
      <c r="CC488" s="19"/>
      <c r="CD488" s="19"/>
    </row>
    <row r="489" spans="80:82" x14ac:dyDescent="0.15">
      <c r="CB489" s="19"/>
      <c r="CC489" s="19"/>
      <c r="CD489" s="19"/>
    </row>
    <row r="490" spans="80:82" x14ac:dyDescent="0.15">
      <c r="CB490" s="19"/>
      <c r="CC490" s="19"/>
      <c r="CD490" s="19"/>
    </row>
    <row r="491" spans="80:82" x14ac:dyDescent="0.15">
      <c r="CB491" s="19"/>
      <c r="CC491" s="19"/>
      <c r="CD491" s="19"/>
    </row>
    <row r="492" spans="80:82" x14ac:dyDescent="0.15">
      <c r="CB492" s="19"/>
      <c r="CC492" s="19"/>
      <c r="CD492" s="19"/>
    </row>
    <row r="493" spans="80:82" x14ac:dyDescent="0.15">
      <c r="CB493" s="19"/>
      <c r="CC493" s="19"/>
      <c r="CD493" s="19"/>
    </row>
    <row r="494" spans="80:82" x14ac:dyDescent="0.15">
      <c r="CB494" s="19"/>
      <c r="CC494" s="19"/>
      <c r="CD494" s="19"/>
    </row>
    <row r="495" spans="80:82" x14ac:dyDescent="0.15">
      <c r="CB495" s="19"/>
      <c r="CC495" s="19"/>
      <c r="CD495" s="19"/>
    </row>
    <row r="496" spans="80:82" x14ac:dyDescent="0.15">
      <c r="CB496" s="19"/>
      <c r="CC496" s="19"/>
      <c r="CD496" s="19"/>
    </row>
    <row r="497" spans="80:82" x14ac:dyDescent="0.15">
      <c r="CB497" s="19"/>
      <c r="CC497" s="19"/>
      <c r="CD497" s="19"/>
    </row>
    <row r="498" spans="80:82" x14ac:dyDescent="0.15">
      <c r="CB498" s="19"/>
      <c r="CC498" s="19"/>
      <c r="CD498" s="19"/>
    </row>
    <row r="499" spans="80:82" x14ac:dyDescent="0.15">
      <c r="CB499" s="19"/>
      <c r="CC499" s="19"/>
      <c r="CD499" s="19"/>
    </row>
    <row r="500" spans="80:82" x14ac:dyDescent="0.15">
      <c r="CB500" s="19"/>
      <c r="CC500" s="19"/>
      <c r="CD500" s="19"/>
    </row>
    <row r="501" spans="80:82" x14ac:dyDescent="0.15">
      <c r="CB501" s="19"/>
      <c r="CC501" s="19"/>
      <c r="CD501" s="19"/>
    </row>
    <row r="502" spans="80:82" x14ac:dyDescent="0.15">
      <c r="CB502" s="19"/>
      <c r="CC502" s="19"/>
      <c r="CD502" s="19"/>
    </row>
    <row r="503" spans="80:82" x14ac:dyDescent="0.15">
      <c r="CB503" s="19"/>
      <c r="CC503" s="19"/>
      <c r="CD503" s="19"/>
    </row>
    <row r="504" spans="80:82" x14ac:dyDescent="0.15">
      <c r="CB504" s="19"/>
      <c r="CC504" s="19"/>
      <c r="CD504" s="19"/>
    </row>
    <row r="505" spans="80:82" x14ac:dyDescent="0.15">
      <c r="CB505" s="19"/>
      <c r="CC505" s="19"/>
      <c r="CD505" s="19"/>
    </row>
    <row r="506" spans="80:82" x14ac:dyDescent="0.15">
      <c r="CB506" s="19"/>
      <c r="CC506" s="19"/>
      <c r="CD506" s="19"/>
    </row>
    <row r="507" spans="80:82" x14ac:dyDescent="0.15">
      <c r="CB507" s="19"/>
      <c r="CC507" s="19"/>
      <c r="CD507" s="19"/>
    </row>
    <row r="508" spans="80:82" x14ac:dyDescent="0.15">
      <c r="CB508" s="19"/>
      <c r="CC508" s="19"/>
      <c r="CD508" s="19"/>
    </row>
    <row r="509" spans="80:82" x14ac:dyDescent="0.15">
      <c r="CB509" s="19"/>
      <c r="CC509" s="19"/>
      <c r="CD509" s="19"/>
    </row>
    <row r="510" spans="80:82" x14ac:dyDescent="0.15">
      <c r="CB510" s="19"/>
      <c r="CC510" s="19"/>
      <c r="CD510" s="19"/>
    </row>
    <row r="511" spans="80:82" x14ac:dyDescent="0.15">
      <c r="CB511" s="19"/>
      <c r="CC511" s="19"/>
      <c r="CD511" s="19"/>
    </row>
    <row r="512" spans="80:82" x14ac:dyDescent="0.15">
      <c r="CB512" s="19"/>
      <c r="CC512" s="19"/>
      <c r="CD512" s="19"/>
    </row>
    <row r="513" spans="80:82" x14ac:dyDescent="0.15">
      <c r="CB513" s="19"/>
      <c r="CC513" s="19"/>
      <c r="CD513" s="19"/>
    </row>
    <row r="514" spans="80:82" x14ac:dyDescent="0.15">
      <c r="CB514" s="19"/>
      <c r="CC514" s="19"/>
      <c r="CD514" s="19"/>
    </row>
    <row r="515" spans="80:82" x14ac:dyDescent="0.15">
      <c r="CB515" s="19"/>
      <c r="CC515" s="19"/>
      <c r="CD515" s="19"/>
    </row>
    <row r="516" spans="80:82" x14ac:dyDescent="0.15">
      <c r="CB516" s="19"/>
      <c r="CC516" s="19"/>
      <c r="CD516" s="19"/>
    </row>
    <row r="517" spans="80:82" x14ac:dyDescent="0.15">
      <c r="CB517" s="19"/>
      <c r="CC517" s="19"/>
      <c r="CD517" s="19"/>
    </row>
    <row r="518" spans="80:82" x14ac:dyDescent="0.15">
      <c r="CB518" s="19"/>
      <c r="CC518" s="19"/>
      <c r="CD518" s="19"/>
    </row>
    <row r="519" spans="80:82" x14ac:dyDescent="0.15">
      <c r="CB519" s="19"/>
      <c r="CC519" s="19"/>
      <c r="CD519" s="19"/>
    </row>
    <row r="520" spans="80:82" x14ac:dyDescent="0.15">
      <c r="CB520" s="19"/>
      <c r="CC520" s="19"/>
      <c r="CD520" s="19"/>
    </row>
    <row r="521" spans="80:82" x14ac:dyDescent="0.15">
      <c r="CB521" s="19"/>
      <c r="CC521" s="19"/>
      <c r="CD521" s="19"/>
    </row>
    <row r="522" spans="80:82" x14ac:dyDescent="0.15">
      <c r="CB522" s="19"/>
      <c r="CC522" s="19"/>
      <c r="CD522" s="19"/>
    </row>
    <row r="523" spans="80:82" x14ac:dyDescent="0.15">
      <c r="CB523" s="19"/>
      <c r="CC523" s="19"/>
      <c r="CD523" s="19"/>
    </row>
    <row r="524" spans="80:82" x14ac:dyDescent="0.15">
      <c r="CB524" s="19"/>
      <c r="CC524" s="19"/>
      <c r="CD524" s="19"/>
    </row>
    <row r="525" spans="80:82" x14ac:dyDescent="0.15">
      <c r="CB525" s="19"/>
      <c r="CC525" s="19"/>
      <c r="CD525" s="19"/>
    </row>
    <row r="526" spans="80:82" x14ac:dyDescent="0.15">
      <c r="CB526" s="19"/>
      <c r="CC526" s="19"/>
      <c r="CD526" s="19"/>
    </row>
    <row r="527" spans="80:82" x14ac:dyDescent="0.15">
      <c r="CB527" s="19"/>
      <c r="CC527" s="19"/>
      <c r="CD527" s="19"/>
    </row>
    <row r="528" spans="80:82" x14ac:dyDescent="0.15">
      <c r="CB528" s="19"/>
      <c r="CC528" s="19"/>
      <c r="CD528" s="19"/>
    </row>
    <row r="529" spans="80:82" x14ac:dyDescent="0.15">
      <c r="CB529" s="19"/>
      <c r="CC529" s="19"/>
      <c r="CD529" s="19"/>
    </row>
    <row r="530" spans="80:82" x14ac:dyDescent="0.15">
      <c r="CB530" s="19"/>
      <c r="CC530" s="19"/>
      <c r="CD530" s="19"/>
    </row>
    <row r="531" spans="80:82" x14ac:dyDescent="0.15">
      <c r="CB531" s="19"/>
      <c r="CC531" s="19"/>
      <c r="CD531" s="19"/>
    </row>
    <row r="532" spans="80:82" x14ac:dyDescent="0.15">
      <c r="CB532" s="19"/>
      <c r="CC532" s="19"/>
      <c r="CD532" s="19"/>
    </row>
    <row r="533" spans="80:82" x14ac:dyDescent="0.15">
      <c r="CB533" s="19"/>
      <c r="CC533" s="19"/>
      <c r="CD533" s="19"/>
    </row>
    <row r="534" spans="80:82" x14ac:dyDescent="0.15">
      <c r="CB534" s="19"/>
      <c r="CC534" s="19"/>
      <c r="CD534" s="19"/>
    </row>
    <row r="535" spans="80:82" x14ac:dyDescent="0.15">
      <c r="CB535" s="19"/>
      <c r="CC535" s="19"/>
      <c r="CD535" s="19"/>
    </row>
    <row r="536" spans="80:82" x14ac:dyDescent="0.15">
      <c r="CB536" s="19"/>
      <c r="CC536" s="19"/>
      <c r="CD536" s="19"/>
    </row>
    <row r="537" spans="80:82" x14ac:dyDescent="0.15">
      <c r="CB537" s="19"/>
      <c r="CC537" s="19"/>
      <c r="CD537" s="19"/>
    </row>
    <row r="538" spans="80:82" x14ac:dyDescent="0.15">
      <c r="CB538" s="19"/>
      <c r="CC538" s="19"/>
      <c r="CD538" s="19"/>
    </row>
    <row r="539" spans="80:82" x14ac:dyDescent="0.15">
      <c r="CB539" s="19"/>
      <c r="CC539" s="19"/>
      <c r="CD539" s="19"/>
    </row>
    <row r="540" spans="80:82" x14ac:dyDescent="0.15">
      <c r="CB540" s="19"/>
      <c r="CC540" s="19"/>
      <c r="CD540" s="19"/>
    </row>
    <row r="541" spans="80:82" x14ac:dyDescent="0.15">
      <c r="CB541" s="19"/>
      <c r="CC541" s="19"/>
      <c r="CD541" s="19"/>
    </row>
    <row r="542" spans="80:82" x14ac:dyDescent="0.15">
      <c r="CB542" s="19"/>
      <c r="CC542" s="19"/>
      <c r="CD542" s="19"/>
    </row>
    <row r="543" spans="80:82" x14ac:dyDescent="0.15">
      <c r="CB543" s="19"/>
      <c r="CC543" s="19"/>
      <c r="CD543" s="19"/>
    </row>
    <row r="544" spans="80:82" x14ac:dyDescent="0.15">
      <c r="CB544" s="19"/>
      <c r="CC544" s="19"/>
      <c r="CD544" s="19"/>
    </row>
    <row r="545" spans="80:82" x14ac:dyDescent="0.15">
      <c r="CB545" s="19"/>
      <c r="CC545" s="19"/>
      <c r="CD545" s="19"/>
    </row>
    <row r="546" spans="80:82" x14ac:dyDescent="0.15">
      <c r="CB546" s="19"/>
      <c r="CC546" s="19"/>
      <c r="CD546" s="19"/>
    </row>
    <row r="547" spans="80:82" x14ac:dyDescent="0.15">
      <c r="CB547" s="19"/>
      <c r="CC547" s="19"/>
      <c r="CD547" s="19"/>
    </row>
    <row r="548" spans="80:82" x14ac:dyDescent="0.15">
      <c r="CB548" s="19"/>
      <c r="CC548" s="19"/>
      <c r="CD548" s="19"/>
    </row>
    <row r="549" spans="80:82" x14ac:dyDescent="0.15">
      <c r="CB549" s="19"/>
      <c r="CC549" s="19"/>
      <c r="CD549" s="19"/>
    </row>
    <row r="550" spans="80:82" x14ac:dyDescent="0.15">
      <c r="CB550" s="19"/>
      <c r="CC550" s="19"/>
      <c r="CD550" s="19"/>
    </row>
    <row r="551" spans="80:82" x14ac:dyDescent="0.15">
      <c r="CB551" s="19"/>
      <c r="CC551" s="19"/>
      <c r="CD551" s="19"/>
    </row>
    <row r="552" spans="80:82" x14ac:dyDescent="0.15">
      <c r="CB552" s="19"/>
      <c r="CC552" s="19"/>
      <c r="CD552" s="19"/>
    </row>
    <row r="553" spans="80:82" x14ac:dyDescent="0.15">
      <c r="CB553" s="19"/>
      <c r="CC553" s="19"/>
      <c r="CD553" s="19"/>
    </row>
    <row r="554" spans="80:82" x14ac:dyDescent="0.15">
      <c r="CB554" s="19"/>
      <c r="CC554" s="19"/>
      <c r="CD554" s="19"/>
    </row>
    <row r="555" spans="80:82" x14ac:dyDescent="0.15">
      <c r="CB555" s="19"/>
      <c r="CC555" s="19"/>
      <c r="CD555" s="19"/>
    </row>
    <row r="556" spans="80:82" x14ac:dyDescent="0.15">
      <c r="CB556" s="19"/>
      <c r="CC556" s="19"/>
      <c r="CD556" s="19"/>
    </row>
    <row r="557" spans="80:82" x14ac:dyDescent="0.15">
      <c r="CB557" s="19"/>
      <c r="CC557" s="19"/>
      <c r="CD557" s="19"/>
    </row>
    <row r="558" spans="80:82" x14ac:dyDescent="0.15">
      <c r="CB558" s="19"/>
      <c r="CC558" s="19"/>
      <c r="CD558" s="19"/>
    </row>
    <row r="559" spans="80:82" x14ac:dyDescent="0.15">
      <c r="CB559" s="19"/>
      <c r="CC559" s="19"/>
      <c r="CD559" s="19"/>
    </row>
    <row r="560" spans="80:82" x14ac:dyDescent="0.15">
      <c r="CB560" s="19"/>
      <c r="CC560" s="19"/>
      <c r="CD560" s="19"/>
    </row>
    <row r="561" spans="80:82" x14ac:dyDescent="0.15">
      <c r="CB561" s="19"/>
      <c r="CC561" s="19"/>
      <c r="CD561" s="19"/>
    </row>
    <row r="562" spans="80:82" x14ac:dyDescent="0.15">
      <c r="CB562" s="19"/>
      <c r="CC562" s="19"/>
      <c r="CD562" s="19"/>
    </row>
    <row r="563" spans="80:82" x14ac:dyDescent="0.15">
      <c r="CB563" s="19"/>
      <c r="CC563" s="19"/>
      <c r="CD563" s="19"/>
    </row>
    <row r="564" spans="80:82" x14ac:dyDescent="0.15">
      <c r="CB564" s="19"/>
      <c r="CC564" s="19"/>
      <c r="CD564" s="19"/>
    </row>
    <row r="565" spans="80:82" x14ac:dyDescent="0.15">
      <c r="CB565" s="19"/>
      <c r="CC565" s="19"/>
      <c r="CD565" s="19"/>
    </row>
    <row r="566" spans="80:82" x14ac:dyDescent="0.15">
      <c r="CB566" s="19"/>
      <c r="CC566" s="19"/>
      <c r="CD566" s="19"/>
    </row>
    <row r="567" spans="80:82" x14ac:dyDescent="0.15">
      <c r="CB567" s="19"/>
      <c r="CC567" s="19"/>
      <c r="CD567" s="19"/>
    </row>
    <row r="568" spans="80:82" x14ac:dyDescent="0.15">
      <c r="CB568" s="19"/>
      <c r="CC568" s="19"/>
      <c r="CD568" s="19"/>
    </row>
    <row r="569" spans="80:82" x14ac:dyDescent="0.15">
      <c r="CB569" s="19"/>
      <c r="CC569" s="19"/>
      <c r="CD569" s="19"/>
    </row>
    <row r="570" spans="80:82" x14ac:dyDescent="0.15">
      <c r="CB570" s="19"/>
      <c r="CC570" s="19"/>
      <c r="CD570" s="19"/>
    </row>
    <row r="571" spans="80:82" x14ac:dyDescent="0.15">
      <c r="CB571" s="19"/>
      <c r="CC571" s="19"/>
      <c r="CD571" s="19"/>
    </row>
    <row r="572" spans="80:82" x14ac:dyDescent="0.15">
      <c r="CB572" s="19"/>
      <c r="CC572" s="19"/>
      <c r="CD572" s="19"/>
    </row>
    <row r="573" spans="80:82" x14ac:dyDescent="0.15">
      <c r="CB573" s="19"/>
      <c r="CC573" s="19"/>
      <c r="CD573" s="19"/>
    </row>
    <row r="574" spans="80:82" x14ac:dyDescent="0.15">
      <c r="CB574" s="19"/>
      <c r="CC574" s="19"/>
      <c r="CD574" s="19"/>
    </row>
    <row r="575" spans="80:82" x14ac:dyDescent="0.15">
      <c r="CB575" s="19"/>
      <c r="CC575" s="19"/>
      <c r="CD575" s="19"/>
    </row>
    <row r="576" spans="80:82" x14ac:dyDescent="0.15">
      <c r="CB576" s="19"/>
      <c r="CC576" s="19"/>
      <c r="CD576" s="19"/>
    </row>
    <row r="577" spans="80:82" x14ac:dyDescent="0.15">
      <c r="CB577" s="19"/>
      <c r="CC577" s="19"/>
      <c r="CD577" s="19"/>
    </row>
    <row r="578" spans="80:82" x14ac:dyDescent="0.15">
      <c r="CB578" s="19"/>
      <c r="CC578" s="19"/>
      <c r="CD578" s="19"/>
    </row>
    <row r="579" spans="80:82" x14ac:dyDescent="0.15">
      <c r="CB579" s="19"/>
      <c r="CC579" s="19"/>
      <c r="CD579" s="19"/>
    </row>
    <row r="580" spans="80:82" x14ac:dyDescent="0.15">
      <c r="CB580" s="19"/>
      <c r="CC580" s="19"/>
      <c r="CD580" s="19"/>
    </row>
    <row r="581" spans="80:82" x14ac:dyDescent="0.15">
      <c r="CB581" s="19"/>
      <c r="CC581" s="19"/>
      <c r="CD581" s="19"/>
    </row>
    <row r="582" spans="80:82" x14ac:dyDescent="0.15">
      <c r="CB582" s="19"/>
      <c r="CC582" s="19"/>
      <c r="CD582" s="19"/>
    </row>
    <row r="583" spans="80:82" x14ac:dyDescent="0.15">
      <c r="CB583" s="19"/>
      <c r="CC583" s="19"/>
      <c r="CD583" s="19"/>
    </row>
    <row r="584" spans="80:82" x14ac:dyDescent="0.15">
      <c r="CB584" s="19"/>
      <c r="CC584" s="19"/>
      <c r="CD584" s="19"/>
    </row>
    <row r="585" spans="80:82" x14ac:dyDescent="0.15">
      <c r="CB585" s="19"/>
      <c r="CC585" s="19"/>
      <c r="CD585" s="19"/>
    </row>
    <row r="586" spans="80:82" x14ac:dyDescent="0.15">
      <c r="CB586" s="19"/>
      <c r="CC586" s="19"/>
      <c r="CD586" s="19"/>
    </row>
    <row r="587" spans="80:82" x14ac:dyDescent="0.15">
      <c r="CB587" s="19"/>
      <c r="CC587" s="19"/>
      <c r="CD587" s="19"/>
    </row>
    <row r="588" spans="80:82" x14ac:dyDescent="0.15">
      <c r="CB588" s="19"/>
      <c r="CC588" s="19"/>
      <c r="CD588" s="19"/>
    </row>
    <row r="589" spans="80:82" x14ac:dyDescent="0.15">
      <c r="CB589" s="19"/>
      <c r="CC589" s="19"/>
      <c r="CD589" s="19"/>
    </row>
    <row r="590" spans="80:82" x14ac:dyDescent="0.15">
      <c r="CB590" s="19"/>
      <c r="CC590" s="19"/>
      <c r="CD590" s="19"/>
    </row>
    <row r="591" spans="80:82" x14ac:dyDescent="0.15">
      <c r="CB591" s="19"/>
      <c r="CC591" s="19"/>
      <c r="CD591" s="19"/>
    </row>
    <row r="592" spans="80:82" x14ac:dyDescent="0.15">
      <c r="CB592" s="19"/>
      <c r="CC592" s="19"/>
      <c r="CD592" s="19"/>
    </row>
    <row r="593" spans="80:82" x14ac:dyDescent="0.15">
      <c r="CB593" s="19"/>
      <c r="CC593" s="19"/>
      <c r="CD593" s="19"/>
    </row>
    <row r="594" spans="80:82" x14ac:dyDescent="0.15">
      <c r="CB594" s="19"/>
      <c r="CC594" s="19"/>
      <c r="CD594" s="19"/>
    </row>
    <row r="595" spans="80:82" x14ac:dyDescent="0.15">
      <c r="CB595" s="19"/>
      <c r="CC595" s="19"/>
      <c r="CD595" s="19"/>
    </row>
    <row r="596" spans="80:82" x14ac:dyDescent="0.15">
      <c r="CB596" s="19"/>
      <c r="CC596" s="19"/>
      <c r="CD596" s="19"/>
    </row>
    <row r="597" spans="80:82" x14ac:dyDescent="0.15">
      <c r="CB597" s="19"/>
      <c r="CC597" s="19"/>
      <c r="CD597" s="19"/>
    </row>
    <row r="598" spans="80:82" x14ac:dyDescent="0.15">
      <c r="CB598" s="19"/>
      <c r="CC598" s="19"/>
      <c r="CD598" s="19"/>
    </row>
    <row r="599" spans="80:82" x14ac:dyDescent="0.15">
      <c r="CB599" s="19"/>
      <c r="CC599" s="19"/>
      <c r="CD599" s="19"/>
    </row>
    <row r="600" spans="80:82" x14ac:dyDescent="0.15">
      <c r="CB600" s="19"/>
      <c r="CC600" s="19"/>
      <c r="CD600" s="19"/>
    </row>
    <row r="601" spans="80:82" x14ac:dyDescent="0.15">
      <c r="CB601" s="19"/>
      <c r="CC601" s="19"/>
      <c r="CD601" s="19"/>
    </row>
    <row r="602" spans="80:82" x14ac:dyDescent="0.15">
      <c r="CB602" s="19"/>
      <c r="CC602" s="19"/>
      <c r="CD602" s="19"/>
    </row>
    <row r="603" spans="80:82" x14ac:dyDescent="0.15">
      <c r="CB603" s="19"/>
      <c r="CC603" s="19"/>
      <c r="CD603" s="19"/>
    </row>
    <row r="604" spans="80:82" x14ac:dyDescent="0.15">
      <c r="CB604" s="19"/>
      <c r="CC604" s="19"/>
      <c r="CD604" s="19"/>
    </row>
    <row r="605" spans="80:82" x14ac:dyDescent="0.15">
      <c r="CB605" s="19"/>
      <c r="CC605" s="19"/>
      <c r="CD605" s="19"/>
    </row>
    <row r="606" spans="80:82" x14ac:dyDescent="0.15">
      <c r="CB606" s="19"/>
      <c r="CC606" s="19"/>
      <c r="CD606" s="19"/>
    </row>
    <row r="607" spans="80:82" x14ac:dyDescent="0.15">
      <c r="CB607" s="19"/>
      <c r="CC607" s="19"/>
      <c r="CD607" s="19"/>
    </row>
    <row r="608" spans="80:82" x14ac:dyDescent="0.15">
      <c r="CB608" s="19"/>
      <c r="CC608" s="19"/>
      <c r="CD608" s="19"/>
    </row>
    <row r="609" spans="80:82" x14ac:dyDescent="0.15">
      <c r="CB609" s="19"/>
      <c r="CC609" s="19"/>
      <c r="CD609" s="19"/>
    </row>
    <row r="610" spans="80:82" x14ac:dyDescent="0.15">
      <c r="CB610" s="19"/>
      <c r="CC610" s="19"/>
      <c r="CD610" s="19"/>
    </row>
    <row r="611" spans="80:82" x14ac:dyDescent="0.15">
      <c r="CB611" s="19"/>
      <c r="CC611" s="19"/>
      <c r="CD611" s="19"/>
    </row>
    <row r="612" spans="80:82" x14ac:dyDescent="0.15">
      <c r="CB612" s="19"/>
      <c r="CC612" s="19"/>
      <c r="CD612" s="19"/>
    </row>
    <row r="613" spans="80:82" x14ac:dyDescent="0.15">
      <c r="CB613" s="19"/>
      <c r="CC613" s="19"/>
      <c r="CD613" s="19"/>
    </row>
    <row r="614" spans="80:82" x14ac:dyDescent="0.15">
      <c r="CB614" s="19"/>
      <c r="CC614" s="19"/>
      <c r="CD614" s="19"/>
    </row>
    <row r="615" spans="80:82" x14ac:dyDescent="0.15">
      <c r="CB615" s="19"/>
      <c r="CC615" s="19"/>
      <c r="CD615" s="19"/>
    </row>
    <row r="616" spans="80:82" x14ac:dyDescent="0.15">
      <c r="CB616" s="19"/>
      <c r="CC616" s="19"/>
      <c r="CD616" s="19"/>
    </row>
    <row r="617" spans="80:82" x14ac:dyDescent="0.15">
      <c r="CB617" s="19"/>
      <c r="CC617" s="19"/>
      <c r="CD617" s="19"/>
    </row>
    <row r="618" spans="80:82" x14ac:dyDescent="0.15">
      <c r="CB618" s="19"/>
      <c r="CC618" s="19"/>
      <c r="CD618" s="19"/>
    </row>
    <row r="619" spans="80:82" x14ac:dyDescent="0.15">
      <c r="CB619" s="19"/>
      <c r="CC619" s="19"/>
      <c r="CD619" s="19"/>
    </row>
    <row r="620" spans="80:82" x14ac:dyDescent="0.15">
      <c r="CB620" s="19"/>
      <c r="CC620" s="19"/>
      <c r="CD620" s="19"/>
    </row>
    <row r="621" spans="80:82" x14ac:dyDescent="0.15">
      <c r="CB621" s="19"/>
      <c r="CC621" s="19"/>
      <c r="CD621" s="19"/>
    </row>
    <row r="622" spans="80:82" x14ac:dyDescent="0.15">
      <c r="CB622" s="19"/>
      <c r="CC622" s="19"/>
      <c r="CD622" s="19"/>
    </row>
    <row r="623" spans="80:82" x14ac:dyDescent="0.15">
      <c r="CB623" s="19"/>
      <c r="CC623" s="19"/>
      <c r="CD623" s="19"/>
    </row>
    <row r="624" spans="80:82" x14ac:dyDescent="0.15">
      <c r="CB624" s="19"/>
      <c r="CC624" s="19"/>
      <c r="CD624" s="19"/>
    </row>
    <row r="625" spans="80:82" x14ac:dyDescent="0.15">
      <c r="CB625" s="19"/>
      <c r="CC625" s="19"/>
      <c r="CD625" s="19"/>
    </row>
    <row r="626" spans="80:82" x14ac:dyDescent="0.15">
      <c r="CB626" s="19"/>
      <c r="CC626" s="19"/>
      <c r="CD626" s="19"/>
    </row>
    <row r="627" spans="80:82" x14ac:dyDescent="0.15">
      <c r="CB627" s="19"/>
      <c r="CC627" s="19"/>
      <c r="CD627" s="19"/>
    </row>
    <row r="628" spans="80:82" x14ac:dyDescent="0.15">
      <c r="CB628" s="19"/>
      <c r="CC628" s="19"/>
      <c r="CD628" s="19"/>
    </row>
    <row r="629" spans="80:82" x14ac:dyDescent="0.15">
      <c r="CB629" s="19"/>
      <c r="CC629" s="19"/>
      <c r="CD629" s="19"/>
    </row>
    <row r="630" spans="80:82" x14ac:dyDescent="0.15">
      <c r="CB630" s="19"/>
      <c r="CC630" s="19"/>
      <c r="CD630" s="19"/>
    </row>
    <row r="631" spans="80:82" x14ac:dyDescent="0.15">
      <c r="CB631" s="19"/>
      <c r="CC631" s="19"/>
      <c r="CD631" s="19"/>
    </row>
    <row r="632" spans="80:82" x14ac:dyDescent="0.15">
      <c r="CB632" s="19"/>
      <c r="CC632" s="19"/>
      <c r="CD632" s="19"/>
    </row>
    <row r="633" spans="80:82" x14ac:dyDescent="0.15">
      <c r="CB633" s="19"/>
      <c r="CC633" s="19"/>
      <c r="CD633" s="19"/>
    </row>
    <row r="634" spans="80:82" x14ac:dyDescent="0.15">
      <c r="CB634" s="19"/>
      <c r="CC634" s="19"/>
      <c r="CD634" s="19"/>
    </row>
    <row r="635" spans="80:82" x14ac:dyDescent="0.15">
      <c r="CB635" s="19"/>
      <c r="CC635" s="19"/>
      <c r="CD635" s="19"/>
    </row>
    <row r="636" spans="80:82" x14ac:dyDescent="0.15">
      <c r="CB636" s="19"/>
      <c r="CC636" s="19"/>
      <c r="CD636" s="19"/>
    </row>
    <row r="637" spans="80:82" x14ac:dyDescent="0.15">
      <c r="CB637" s="19"/>
      <c r="CC637" s="19"/>
      <c r="CD637" s="19"/>
    </row>
    <row r="638" spans="80:82" x14ac:dyDescent="0.15">
      <c r="CB638" s="19"/>
      <c r="CC638" s="19"/>
      <c r="CD638" s="19"/>
    </row>
    <row r="639" spans="80:82" x14ac:dyDescent="0.15">
      <c r="CB639" s="19"/>
      <c r="CC639" s="19"/>
      <c r="CD639" s="19"/>
    </row>
    <row r="640" spans="80:82" x14ac:dyDescent="0.15">
      <c r="CB640" s="19"/>
      <c r="CC640" s="19"/>
      <c r="CD640" s="19"/>
    </row>
    <row r="641" spans="80:82" x14ac:dyDescent="0.15">
      <c r="CB641" s="19"/>
      <c r="CC641" s="19"/>
      <c r="CD641" s="19"/>
    </row>
    <row r="642" spans="80:82" x14ac:dyDescent="0.15">
      <c r="CB642" s="19"/>
      <c r="CC642" s="19"/>
      <c r="CD642" s="19"/>
    </row>
    <row r="643" spans="80:82" x14ac:dyDescent="0.15">
      <c r="CB643" s="19"/>
      <c r="CC643" s="19"/>
      <c r="CD643" s="19"/>
    </row>
    <row r="644" spans="80:82" x14ac:dyDescent="0.15">
      <c r="CB644" s="19"/>
      <c r="CC644" s="19"/>
      <c r="CD644" s="19"/>
    </row>
    <row r="645" spans="80:82" x14ac:dyDescent="0.15">
      <c r="CB645" s="19"/>
      <c r="CC645" s="19"/>
      <c r="CD645" s="19"/>
    </row>
    <row r="646" spans="80:82" x14ac:dyDescent="0.15">
      <c r="CB646" s="19"/>
      <c r="CC646" s="19"/>
      <c r="CD646" s="19"/>
    </row>
    <row r="647" spans="80:82" x14ac:dyDescent="0.15">
      <c r="CB647" s="19"/>
      <c r="CC647" s="19"/>
      <c r="CD647" s="19"/>
    </row>
    <row r="648" spans="80:82" x14ac:dyDescent="0.15">
      <c r="CB648" s="19"/>
      <c r="CC648" s="19"/>
      <c r="CD648" s="19"/>
    </row>
    <row r="649" spans="80:82" x14ac:dyDescent="0.15">
      <c r="CB649" s="19"/>
      <c r="CC649" s="19"/>
      <c r="CD649" s="19"/>
    </row>
    <row r="650" spans="80:82" x14ac:dyDescent="0.15">
      <c r="CB650" s="19"/>
      <c r="CC650" s="19"/>
      <c r="CD650" s="19"/>
    </row>
    <row r="651" spans="80:82" x14ac:dyDescent="0.15">
      <c r="CB651" s="19"/>
      <c r="CC651" s="19"/>
      <c r="CD651" s="19"/>
    </row>
    <row r="652" spans="80:82" x14ac:dyDescent="0.15">
      <c r="CB652" s="19"/>
      <c r="CC652" s="19"/>
      <c r="CD652" s="19"/>
    </row>
    <row r="653" spans="80:82" x14ac:dyDescent="0.15">
      <c r="CB653" s="19"/>
      <c r="CC653" s="19"/>
      <c r="CD653" s="19"/>
    </row>
    <row r="654" spans="80:82" x14ac:dyDescent="0.15">
      <c r="CB654" s="19"/>
      <c r="CC654" s="19"/>
      <c r="CD654" s="19"/>
    </row>
    <row r="655" spans="80:82" x14ac:dyDescent="0.15">
      <c r="CB655" s="19"/>
      <c r="CC655" s="19"/>
      <c r="CD655" s="19"/>
    </row>
    <row r="656" spans="80:82" x14ac:dyDescent="0.15">
      <c r="CB656" s="19"/>
      <c r="CC656" s="19"/>
      <c r="CD656" s="19"/>
    </row>
    <row r="657" spans="80:82" x14ac:dyDescent="0.15">
      <c r="CB657" s="19"/>
      <c r="CC657" s="19"/>
      <c r="CD657" s="19"/>
    </row>
    <row r="658" spans="80:82" x14ac:dyDescent="0.15">
      <c r="CB658" s="19"/>
      <c r="CC658" s="19"/>
      <c r="CD658" s="19"/>
    </row>
    <row r="659" spans="80:82" x14ac:dyDescent="0.15">
      <c r="CB659" s="19"/>
      <c r="CC659" s="19"/>
      <c r="CD659" s="19"/>
    </row>
    <row r="660" spans="80:82" x14ac:dyDescent="0.15">
      <c r="CB660" s="19"/>
      <c r="CC660" s="19"/>
      <c r="CD660" s="19"/>
    </row>
    <row r="661" spans="80:82" x14ac:dyDescent="0.15">
      <c r="CB661" s="19"/>
      <c r="CC661" s="19"/>
      <c r="CD661" s="19"/>
    </row>
    <row r="662" spans="80:82" x14ac:dyDescent="0.15">
      <c r="CB662" s="19"/>
      <c r="CC662" s="19"/>
      <c r="CD662" s="19"/>
    </row>
    <row r="663" spans="80:82" x14ac:dyDescent="0.15">
      <c r="CB663" s="19"/>
      <c r="CC663" s="19"/>
      <c r="CD663" s="19"/>
    </row>
    <row r="664" spans="80:82" x14ac:dyDescent="0.15">
      <c r="CB664" s="19"/>
      <c r="CC664" s="19"/>
      <c r="CD664" s="19"/>
    </row>
    <row r="665" spans="80:82" x14ac:dyDescent="0.15">
      <c r="CB665" s="19"/>
      <c r="CC665" s="19"/>
      <c r="CD665" s="19"/>
    </row>
    <row r="666" spans="80:82" x14ac:dyDescent="0.15">
      <c r="CB666" s="19"/>
      <c r="CC666" s="19"/>
      <c r="CD666" s="19"/>
    </row>
    <row r="667" spans="80:82" x14ac:dyDescent="0.15">
      <c r="CB667" s="19"/>
      <c r="CC667" s="19"/>
      <c r="CD667" s="19"/>
    </row>
    <row r="668" spans="80:82" x14ac:dyDescent="0.15">
      <c r="CB668" s="19"/>
      <c r="CC668" s="19"/>
      <c r="CD668" s="19"/>
    </row>
    <row r="669" spans="80:82" x14ac:dyDescent="0.15">
      <c r="CB669" s="19"/>
      <c r="CC669" s="19"/>
      <c r="CD669" s="19"/>
    </row>
    <row r="670" spans="80:82" x14ac:dyDescent="0.15">
      <c r="CB670" s="19"/>
      <c r="CC670" s="19"/>
      <c r="CD670" s="19"/>
    </row>
    <row r="671" spans="80:82" x14ac:dyDescent="0.15">
      <c r="CB671" s="19"/>
      <c r="CC671" s="19"/>
      <c r="CD671" s="19"/>
    </row>
    <row r="672" spans="80:82" x14ac:dyDescent="0.15">
      <c r="CB672" s="19"/>
      <c r="CC672" s="19"/>
      <c r="CD672" s="19"/>
    </row>
    <row r="673" spans="80:82" x14ac:dyDescent="0.15">
      <c r="CB673" s="19"/>
      <c r="CC673" s="19"/>
      <c r="CD673" s="19"/>
    </row>
    <row r="674" spans="80:82" x14ac:dyDescent="0.15">
      <c r="CB674" s="19"/>
      <c r="CC674" s="19"/>
      <c r="CD674" s="19"/>
    </row>
    <row r="675" spans="80:82" x14ac:dyDescent="0.15">
      <c r="CB675" s="19"/>
      <c r="CC675" s="19"/>
      <c r="CD675" s="19"/>
    </row>
    <row r="676" spans="80:82" x14ac:dyDescent="0.15">
      <c r="CB676" s="19"/>
      <c r="CC676" s="19"/>
      <c r="CD676" s="19"/>
    </row>
    <row r="677" spans="80:82" x14ac:dyDescent="0.15">
      <c r="CB677" s="19"/>
      <c r="CC677" s="19"/>
      <c r="CD677" s="19"/>
    </row>
    <row r="678" spans="80:82" x14ac:dyDescent="0.15">
      <c r="CB678" s="19"/>
      <c r="CC678" s="19"/>
      <c r="CD678" s="19"/>
    </row>
    <row r="679" spans="80:82" x14ac:dyDescent="0.15">
      <c r="CB679" s="19"/>
      <c r="CC679" s="19"/>
      <c r="CD679" s="19"/>
    </row>
    <row r="680" spans="80:82" x14ac:dyDescent="0.15">
      <c r="CB680" s="19"/>
      <c r="CC680" s="19"/>
      <c r="CD680" s="19"/>
    </row>
    <row r="681" spans="80:82" x14ac:dyDescent="0.15">
      <c r="CB681" s="19"/>
      <c r="CC681" s="19"/>
      <c r="CD681" s="19"/>
    </row>
    <row r="682" spans="80:82" x14ac:dyDescent="0.15">
      <c r="CB682" s="19"/>
      <c r="CC682" s="19"/>
      <c r="CD682" s="19"/>
    </row>
    <row r="683" spans="80:82" x14ac:dyDescent="0.15">
      <c r="CB683" s="19"/>
      <c r="CC683" s="19"/>
      <c r="CD683" s="19"/>
    </row>
    <row r="684" spans="80:82" x14ac:dyDescent="0.15">
      <c r="CB684" s="19"/>
      <c r="CC684" s="19"/>
      <c r="CD684" s="19"/>
    </row>
    <row r="685" spans="80:82" x14ac:dyDescent="0.15">
      <c r="CB685" s="19"/>
      <c r="CC685" s="19"/>
      <c r="CD685" s="19"/>
    </row>
    <row r="686" spans="80:82" x14ac:dyDescent="0.15">
      <c r="CB686" s="19"/>
      <c r="CC686" s="19"/>
      <c r="CD686" s="19"/>
    </row>
    <row r="687" spans="80:82" x14ac:dyDescent="0.15">
      <c r="CB687" s="19"/>
      <c r="CC687" s="19"/>
      <c r="CD687" s="19"/>
    </row>
    <row r="688" spans="80:82" x14ac:dyDescent="0.15">
      <c r="CB688" s="19"/>
      <c r="CC688" s="19"/>
      <c r="CD688" s="19"/>
    </row>
    <row r="689" spans="80:82" x14ac:dyDescent="0.15">
      <c r="CB689" s="19"/>
      <c r="CC689" s="19"/>
      <c r="CD689" s="19"/>
    </row>
    <row r="690" spans="80:82" x14ac:dyDescent="0.15">
      <c r="CB690" s="19"/>
      <c r="CC690" s="19"/>
      <c r="CD690" s="19"/>
    </row>
    <row r="691" spans="80:82" x14ac:dyDescent="0.15">
      <c r="CB691" s="19"/>
      <c r="CC691" s="19"/>
      <c r="CD691" s="19"/>
    </row>
    <row r="692" spans="80:82" x14ac:dyDescent="0.15">
      <c r="CB692" s="19"/>
      <c r="CC692" s="19"/>
      <c r="CD692" s="19"/>
    </row>
    <row r="693" spans="80:82" x14ac:dyDescent="0.15">
      <c r="CB693" s="19"/>
      <c r="CC693" s="19"/>
      <c r="CD693" s="19"/>
    </row>
    <row r="694" spans="80:82" x14ac:dyDescent="0.15">
      <c r="CB694" s="19"/>
      <c r="CC694" s="19"/>
      <c r="CD694" s="19"/>
    </row>
    <row r="695" spans="80:82" x14ac:dyDescent="0.15">
      <c r="CB695" s="19"/>
      <c r="CC695" s="19"/>
      <c r="CD695" s="19"/>
    </row>
    <row r="696" spans="80:82" x14ac:dyDescent="0.15">
      <c r="CB696" s="19"/>
      <c r="CC696" s="19"/>
      <c r="CD696" s="19"/>
    </row>
    <row r="697" spans="80:82" x14ac:dyDescent="0.15">
      <c r="CB697" s="19"/>
      <c r="CC697" s="19"/>
      <c r="CD697" s="19"/>
    </row>
    <row r="698" spans="80:82" x14ac:dyDescent="0.15">
      <c r="CB698" s="19"/>
      <c r="CC698" s="19"/>
      <c r="CD698" s="19"/>
    </row>
    <row r="699" spans="80:82" x14ac:dyDescent="0.15">
      <c r="CB699" s="19"/>
      <c r="CC699" s="19"/>
      <c r="CD699" s="19"/>
    </row>
    <row r="700" spans="80:82" x14ac:dyDescent="0.15">
      <c r="CB700" s="19"/>
      <c r="CC700" s="19"/>
      <c r="CD700" s="19"/>
    </row>
    <row r="701" spans="80:82" x14ac:dyDescent="0.15">
      <c r="CB701" s="19"/>
      <c r="CC701" s="19"/>
      <c r="CD701" s="19"/>
    </row>
    <row r="702" spans="80:82" x14ac:dyDescent="0.15">
      <c r="CB702" s="19"/>
      <c r="CC702" s="19"/>
      <c r="CD702" s="19"/>
    </row>
    <row r="703" spans="80:82" x14ac:dyDescent="0.15">
      <c r="CB703" s="19"/>
      <c r="CC703" s="19"/>
      <c r="CD703" s="19"/>
    </row>
    <row r="704" spans="80:82" x14ac:dyDescent="0.15">
      <c r="CB704" s="19"/>
      <c r="CC704" s="19"/>
      <c r="CD704" s="19"/>
    </row>
    <row r="705" spans="80:82" x14ac:dyDescent="0.15">
      <c r="CB705" s="19"/>
      <c r="CC705" s="19"/>
      <c r="CD705" s="19"/>
    </row>
    <row r="706" spans="80:82" x14ac:dyDescent="0.15">
      <c r="CB706" s="19"/>
      <c r="CC706" s="19"/>
      <c r="CD706" s="19"/>
    </row>
    <row r="707" spans="80:82" x14ac:dyDescent="0.15">
      <c r="CB707" s="19"/>
      <c r="CC707" s="19"/>
      <c r="CD707" s="19"/>
    </row>
    <row r="708" spans="80:82" x14ac:dyDescent="0.15">
      <c r="CB708" s="19"/>
      <c r="CC708" s="19"/>
      <c r="CD708" s="19"/>
    </row>
    <row r="709" spans="80:82" x14ac:dyDescent="0.15">
      <c r="CB709" s="19"/>
      <c r="CC709" s="19"/>
      <c r="CD709" s="19"/>
    </row>
    <row r="710" spans="80:82" x14ac:dyDescent="0.15">
      <c r="CB710" s="19"/>
      <c r="CC710" s="19"/>
      <c r="CD710" s="19"/>
    </row>
    <row r="711" spans="80:82" x14ac:dyDescent="0.15">
      <c r="CB711" s="19"/>
      <c r="CC711" s="19"/>
      <c r="CD711" s="19"/>
    </row>
    <row r="712" spans="80:82" x14ac:dyDescent="0.15">
      <c r="CB712" s="19"/>
      <c r="CC712" s="19"/>
      <c r="CD712" s="19"/>
    </row>
    <row r="713" spans="80:82" x14ac:dyDescent="0.15">
      <c r="CB713" s="19"/>
      <c r="CC713" s="19"/>
      <c r="CD713" s="19"/>
    </row>
    <row r="714" spans="80:82" x14ac:dyDescent="0.15">
      <c r="CB714" s="19"/>
      <c r="CC714" s="19"/>
      <c r="CD714" s="19"/>
    </row>
    <row r="715" spans="80:82" x14ac:dyDescent="0.15">
      <c r="CB715" s="19"/>
      <c r="CC715" s="19"/>
      <c r="CD715" s="19"/>
    </row>
    <row r="716" spans="80:82" x14ac:dyDescent="0.15">
      <c r="CB716" s="19"/>
      <c r="CC716" s="19"/>
      <c r="CD716" s="19"/>
    </row>
    <row r="717" spans="80:82" x14ac:dyDescent="0.15">
      <c r="CB717" s="19"/>
      <c r="CC717" s="19"/>
      <c r="CD717" s="19"/>
    </row>
    <row r="718" spans="80:82" x14ac:dyDescent="0.15">
      <c r="CB718" s="19"/>
      <c r="CC718" s="19"/>
      <c r="CD718" s="19"/>
    </row>
    <row r="719" spans="80:82" x14ac:dyDescent="0.15">
      <c r="CB719" s="19"/>
      <c r="CC719" s="19"/>
      <c r="CD719" s="19"/>
    </row>
    <row r="720" spans="80:82" x14ac:dyDescent="0.15">
      <c r="CB720" s="19"/>
      <c r="CC720" s="19"/>
      <c r="CD720" s="19"/>
    </row>
    <row r="721" spans="80:82" x14ac:dyDescent="0.15">
      <c r="CB721" s="19"/>
      <c r="CC721" s="19"/>
      <c r="CD721" s="19"/>
    </row>
    <row r="722" spans="80:82" x14ac:dyDescent="0.15">
      <c r="CB722" s="19"/>
      <c r="CC722" s="19"/>
      <c r="CD722" s="19"/>
    </row>
    <row r="723" spans="80:82" x14ac:dyDescent="0.15">
      <c r="CB723" s="19"/>
      <c r="CC723" s="19"/>
      <c r="CD723" s="19"/>
    </row>
    <row r="724" spans="80:82" x14ac:dyDescent="0.15">
      <c r="CB724" s="19"/>
      <c r="CC724" s="19"/>
      <c r="CD724" s="19"/>
    </row>
    <row r="725" spans="80:82" x14ac:dyDescent="0.15">
      <c r="CB725" s="19"/>
      <c r="CC725" s="19"/>
      <c r="CD725" s="19"/>
    </row>
    <row r="726" spans="80:82" x14ac:dyDescent="0.15">
      <c r="CB726" s="19"/>
      <c r="CC726" s="19"/>
      <c r="CD726" s="19"/>
    </row>
    <row r="727" spans="80:82" x14ac:dyDescent="0.15">
      <c r="CB727" s="19"/>
      <c r="CC727" s="19"/>
      <c r="CD727" s="19"/>
    </row>
    <row r="728" spans="80:82" x14ac:dyDescent="0.15">
      <c r="CB728" s="19"/>
      <c r="CC728" s="19"/>
      <c r="CD728" s="19"/>
    </row>
    <row r="729" spans="80:82" x14ac:dyDescent="0.15">
      <c r="CB729" s="19"/>
      <c r="CC729" s="19"/>
      <c r="CD729" s="19"/>
    </row>
    <row r="730" spans="80:82" x14ac:dyDescent="0.15">
      <c r="CB730" s="19"/>
      <c r="CC730" s="19"/>
      <c r="CD730" s="19"/>
    </row>
    <row r="731" spans="80:82" x14ac:dyDescent="0.15">
      <c r="CB731" s="19"/>
      <c r="CC731" s="19"/>
      <c r="CD731" s="19"/>
    </row>
    <row r="732" spans="80:82" x14ac:dyDescent="0.15">
      <c r="CB732" s="19"/>
      <c r="CC732" s="19"/>
      <c r="CD732" s="19"/>
    </row>
    <row r="733" spans="80:82" x14ac:dyDescent="0.15">
      <c r="CB733" s="19"/>
      <c r="CC733" s="19"/>
      <c r="CD733" s="19"/>
    </row>
    <row r="734" spans="80:82" x14ac:dyDescent="0.15">
      <c r="CB734" s="19"/>
      <c r="CC734" s="19"/>
      <c r="CD734" s="19"/>
    </row>
    <row r="735" spans="80:82" x14ac:dyDescent="0.15">
      <c r="CB735" s="19"/>
      <c r="CC735" s="19"/>
      <c r="CD735" s="19"/>
    </row>
    <row r="736" spans="80:82" x14ac:dyDescent="0.15">
      <c r="CB736" s="19"/>
      <c r="CC736" s="19"/>
      <c r="CD736" s="19"/>
    </row>
    <row r="737" spans="80:82" x14ac:dyDescent="0.15">
      <c r="CB737" s="19"/>
      <c r="CC737" s="19"/>
      <c r="CD737" s="19"/>
    </row>
    <row r="738" spans="80:82" x14ac:dyDescent="0.15">
      <c r="CB738" s="19"/>
      <c r="CC738" s="19"/>
      <c r="CD738" s="19"/>
    </row>
    <row r="739" spans="80:82" x14ac:dyDescent="0.15">
      <c r="CB739" s="19"/>
      <c r="CC739" s="19"/>
      <c r="CD739" s="19"/>
    </row>
    <row r="740" spans="80:82" x14ac:dyDescent="0.15">
      <c r="CB740" s="19"/>
      <c r="CC740" s="19"/>
      <c r="CD740" s="19"/>
    </row>
    <row r="741" spans="80:82" x14ac:dyDescent="0.15">
      <c r="CB741" s="19"/>
      <c r="CC741" s="19"/>
      <c r="CD741" s="19"/>
    </row>
    <row r="742" spans="80:82" x14ac:dyDescent="0.15">
      <c r="CB742" s="19"/>
      <c r="CC742" s="19"/>
      <c r="CD742" s="19"/>
    </row>
    <row r="743" spans="80:82" x14ac:dyDescent="0.15">
      <c r="CB743" s="19"/>
      <c r="CC743" s="19"/>
      <c r="CD743" s="19"/>
    </row>
    <row r="744" spans="80:82" x14ac:dyDescent="0.15">
      <c r="CB744" s="19"/>
      <c r="CC744" s="19"/>
      <c r="CD744" s="19"/>
    </row>
    <row r="745" spans="80:82" x14ac:dyDescent="0.15">
      <c r="CB745" s="19"/>
      <c r="CC745" s="19"/>
      <c r="CD745" s="19"/>
    </row>
    <row r="746" spans="80:82" x14ac:dyDescent="0.15">
      <c r="CB746" s="19"/>
      <c r="CC746" s="19"/>
      <c r="CD746" s="19"/>
    </row>
    <row r="747" spans="80:82" x14ac:dyDescent="0.15">
      <c r="CB747" s="19"/>
      <c r="CC747" s="19"/>
      <c r="CD747" s="19"/>
    </row>
    <row r="748" spans="80:82" x14ac:dyDescent="0.15">
      <c r="CB748" s="19"/>
      <c r="CC748" s="19"/>
      <c r="CD748" s="19"/>
    </row>
    <row r="749" spans="80:82" x14ac:dyDescent="0.15">
      <c r="CB749" s="19"/>
      <c r="CC749" s="19"/>
      <c r="CD749" s="19"/>
    </row>
    <row r="750" spans="80:82" x14ac:dyDescent="0.15">
      <c r="CB750" s="19"/>
      <c r="CC750" s="19"/>
      <c r="CD750" s="19"/>
    </row>
    <row r="751" spans="80:82" x14ac:dyDescent="0.15">
      <c r="CB751" s="19"/>
      <c r="CC751" s="19"/>
      <c r="CD751" s="19"/>
    </row>
    <row r="752" spans="80:82" x14ac:dyDescent="0.15">
      <c r="CB752" s="19"/>
      <c r="CC752" s="19"/>
      <c r="CD752" s="19"/>
    </row>
    <row r="753" spans="80:82" x14ac:dyDescent="0.15">
      <c r="CB753" s="19"/>
      <c r="CC753" s="19"/>
      <c r="CD753" s="19"/>
    </row>
    <row r="754" spans="80:82" x14ac:dyDescent="0.15">
      <c r="CB754" s="19"/>
      <c r="CC754" s="19"/>
      <c r="CD754" s="19"/>
    </row>
    <row r="755" spans="80:82" x14ac:dyDescent="0.15">
      <c r="CB755" s="19"/>
      <c r="CC755" s="19"/>
      <c r="CD755" s="19"/>
    </row>
    <row r="756" spans="80:82" x14ac:dyDescent="0.15">
      <c r="CB756" s="19"/>
      <c r="CC756" s="19"/>
      <c r="CD756" s="19"/>
    </row>
    <row r="757" spans="80:82" x14ac:dyDescent="0.15">
      <c r="CB757" s="19"/>
      <c r="CC757" s="19"/>
      <c r="CD757" s="19"/>
    </row>
    <row r="758" spans="80:82" x14ac:dyDescent="0.15">
      <c r="CB758" s="19"/>
      <c r="CC758" s="19"/>
      <c r="CD758" s="19"/>
    </row>
    <row r="759" spans="80:82" x14ac:dyDescent="0.15">
      <c r="CB759" s="19"/>
      <c r="CC759" s="19"/>
      <c r="CD759" s="19"/>
    </row>
    <row r="760" spans="80:82" x14ac:dyDescent="0.15">
      <c r="CB760" s="19"/>
      <c r="CC760" s="19"/>
      <c r="CD760" s="19"/>
    </row>
    <row r="761" spans="80:82" x14ac:dyDescent="0.15">
      <c r="CB761" s="19"/>
      <c r="CC761" s="19"/>
      <c r="CD761" s="19"/>
    </row>
    <row r="762" spans="80:82" x14ac:dyDescent="0.15">
      <c r="CB762" s="19"/>
      <c r="CC762" s="19"/>
      <c r="CD762" s="19"/>
    </row>
    <row r="763" spans="80:82" x14ac:dyDescent="0.15">
      <c r="CB763" s="19"/>
      <c r="CC763" s="19"/>
      <c r="CD763" s="19"/>
    </row>
    <row r="764" spans="80:82" x14ac:dyDescent="0.15">
      <c r="CB764" s="19"/>
      <c r="CC764" s="19"/>
      <c r="CD764" s="19"/>
    </row>
    <row r="765" spans="80:82" x14ac:dyDescent="0.15">
      <c r="CB765" s="19"/>
      <c r="CC765" s="19"/>
      <c r="CD765" s="19"/>
    </row>
    <row r="766" spans="80:82" x14ac:dyDescent="0.15">
      <c r="CB766" s="19"/>
      <c r="CC766" s="19"/>
      <c r="CD766" s="19"/>
    </row>
    <row r="767" spans="80:82" x14ac:dyDescent="0.15">
      <c r="CB767" s="19"/>
      <c r="CC767" s="19"/>
      <c r="CD767" s="19"/>
    </row>
    <row r="768" spans="80:82" x14ac:dyDescent="0.15">
      <c r="CB768" s="19"/>
      <c r="CC768" s="19"/>
      <c r="CD768" s="19"/>
    </row>
    <row r="769" spans="80:82" x14ac:dyDescent="0.15">
      <c r="CB769" s="19"/>
      <c r="CC769" s="19"/>
      <c r="CD769" s="19"/>
    </row>
    <row r="770" spans="80:82" x14ac:dyDescent="0.15">
      <c r="CB770" s="19"/>
      <c r="CC770" s="19"/>
      <c r="CD770" s="19"/>
    </row>
    <row r="771" spans="80:82" x14ac:dyDescent="0.15">
      <c r="CB771" s="19"/>
      <c r="CC771" s="19"/>
      <c r="CD771" s="19"/>
    </row>
    <row r="772" spans="80:82" x14ac:dyDescent="0.15">
      <c r="CB772" s="19"/>
      <c r="CC772" s="19"/>
      <c r="CD772" s="19"/>
    </row>
    <row r="773" spans="80:82" x14ac:dyDescent="0.15">
      <c r="CB773" s="19"/>
      <c r="CC773" s="19"/>
      <c r="CD773" s="19"/>
    </row>
    <row r="774" spans="80:82" x14ac:dyDescent="0.15">
      <c r="CB774" s="19"/>
      <c r="CC774" s="19"/>
      <c r="CD774" s="19"/>
    </row>
    <row r="775" spans="80:82" x14ac:dyDescent="0.15">
      <c r="CB775" s="19"/>
      <c r="CC775" s="19"/>
      <c r="CD775" s="19"/>
    </row>
    <row r="776" spans="80:82" x14ac:dyDescent="0.15">
      <c r="CB776" s="19"/>
      <c r="CC776" s="19"/>
      <c r="CD776" s="19"/>
    </row>
    <row r="777" spans="80:82" x14ac:dyDescent="0.15">
      <c r="CB777" s="19"/>
      <c r="CC777" s="19"/>
      <c r="CD777" s="19"/>
    </row>
  </sheetData>
  <sheetProtection password="EDBD" sheet="1" objects="1" scenarios="1" selectLockedCells="1" selectUnlockedCells="1"/>
  <mergeCells count="3">
    <mergeCell ref="E178:G178"/>
    <mergeCell ref="E179:G179"/>
    <mergeCell ref="E192:G192"/>
  </mergeCells>
  <phoneticPr fontId="40"/>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4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74</vt:i4>
      </vt:variant>
    </vt:vector>
  </HeadingPairs>
  <TitlesOfParts>
    <vt:vector size="78" baseType="lpstr">
      <vt:lpstr>SCHEMATIC</vt:lpstr>
      <vt:lpstr>DESIGN INPUTS AND CALCULATIONS</vt:lpstr>
      <vt:lpstr>tables and calculations</vt:lpstr>
      <vt:lpstr>Sheet1</vt:lpstr>
      <vt:lpstr>C_1initial</vt:lpstr>
      <vt:lpstr>C_1rec</vt:lpstr>
      <vt:lpstr>C_f1</vt:lpstr>
      <vt:lpstr>C_f2</vt:lpstr>
      <vt:lpstr>C_s1</vt:lpstr>
      <vt:lpstr>C_s2</vt:lpstr>
      <vt:lpstr>Cblk_initial</vt:lpstr>
      <vt:lpstr>Cblk_rec</vt:lpstr>
      <vt:lpstr>Cin_initial</vt:lpstr>
      <vt:lpstr>Cin_rec</vt:lpstr>
      <vt:lpstr>Cr</vt:lpstr>
      <vt:lpstr>Cr_initial</vt:lpstr>
      <vt:lpstr>Cr_rec</vt:lpstr>
      <vt:lpstr>Cs_1</vt:lpstr>
      <vt:lpstr>eff</vt:lpstr>
      <vt:lpstr>ESR</vt:lpstr>
      <vt:lpstr>f0</vt:lpstr>
      <vt:lpstr>fllc</vt:lpstr>
      <vt:lpstr>fn_Mgmax</vt:lpstr>
      <vt:lpstr>fn_Mgmin</vt:lpstr>
      <vt:lpstr>fNmax</vt:lpstr>
      <vt:lpstr>fsw_max</vt:lpstr>
      <vt:lpstr>fsw_min</vt:lpstr>
      <vt:lpstr>Ic_out</vt:lpstr>
      <vt:lpstr>Im</vt:lpstr>
      <vt:lpstr>Ioe</vt:lpstr>
      <vt:lpstr>Iout</vt:lpstr>
      <vt:lpstr>Iq_LLC</vt:lpstr>
      <vt:lpstr>Ir</vt:lpstr>
      <vt:lpstr>Irect</vt:lpstr>
      <vt:lpstr>Isav</vt:lpstr>
      <vt:lpstr>kHz</vt:lpstr>
      <vt:lpstr>kOhm</vt:lpstr>
      <vt:lpstr>Lm</vt:lpstr>
      <vt:lpstr>Lm_rec</vt:lpstr>
      <vt:lpstr>Ln</vt:lpstr>
      <vt:lpstr>Ln_selected</vt:lpstr>
      <vt:lpstr>Lr</vt:lpstr>
      <vt:lpstr>Lr_rec</vt:lpstr>
      <vt:lpstr>mA</vt:lpstr>
      <vt:lpstr>Mg_max</vt:lpstr>
      <vt:lpstr>Mg_min</vt:lpstr>
      <vt:lpstr>Mg_noload</vt:lpstr>
      <vt:lpstr>MHz</vt:lpstr>
      <vt:lpstr>mOhm</vt:lpstr>
      <vt:lpstr>ms</vt:lpstr>
      <vt:lpstr>mV</vt:lpstr>
      <vt:lpstr>mW</vt:lpstr>
      <vt:lpstr>nC</vt:lpstr>
      <vt:lpstr>nF</vt:lpstr>
      <vt:lpstr>Nps</vt:lpstr>
      <vt:lpstr>ns</vt:lpstr>
      <vt:lpstr>picoF</vt:lpstr>
      <vt:lpstr>Pout</vt:lpstr>
      <vt:lpstr>Qe</vt:lpstr>
      <vt:lpstr>Qe_selected</vt:lpstr>
      <vt:lpstr>Re</vt:lpstr>
      <vt:lpstr>Re_fl</vt:lpstr>
      <vt:lpstr>uA</vt:lpstr>
      <vt:lpstr>uC</vt:lpstr>
      <vt:lpstr>uF</vt:lpstr>
      <vt:lpstr>uH</vt:lpstr>
      <vt:lpstr>us</vt:lpstr>
      <vt:lpstr>Vblk</vt:lpstr>
      <vt:lpstr>Vblk_hu</vt:lpstr>
      <vt:lpstr>Vblk_max</vt:lpstr>
      <vt:lpstr>Vblk_ripple_target</vt:lpstr>
      <vt:lpstr>Vcr</vt:lpstr>
      <vt:lpstr>Vdb</vt:lpstr>
      <vt:lpstr>Vllc_cap</vt:lpstr>
      <vt:lpstr>Vloss</vt:lpstr>
      <vt:lpstr>Vout</vt:lpstr>
      <vt:lpstr>Vout_pp</vt:lpstr>
      <vt:lpstr>Vq_LLC</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Dinwoodie, Lisa</dc:creator>
  <cp:lastModifiedBy>吉村 智浩</cp:lastModifiedBy>
  <dcterms:created xsi:type="dcterms:W3CDTF">2014-10-10T14:52:07Z</dcterms:created>
  <dcterms:modified xsi:type="dcterms:W3CDTF">2022-08-19T01:05:42Z</dcterms:modified>
</cp:coreProperties>
</file>