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6"/>
  <workbookPr defaultThemeVersion="124226"/>
  <mc:AlternateContent xmlns:mc="http://schemas.openxmlformats.org/markup-compatibility/2006">
    <mc:Choice Requires="x15">
      <x15ac:absPath xmlns:x15ac="http://schemas.microsoft.com/office/spreadsheetml/2010/11/ac" url="C:\Users\a0411761\TI Drive\LM63635\calcs\"/>
    </mc:Choice>
  </mc:AlternateContent>
  <xr:revisionPtr revIDLastSave="0" documentId="13_ncr:1_{EBECEFEC-810C-4F52-9A19-1DBBE0FB82BF}" xr6:coauthVersionLast="36" xr6:coauthVersionMax="36" xr10:uidLastSave="{00000000-0000-0000-0000-000000000000}"/>
  <workbookProtection workbookAlgorithmName="SHA-512" workbookHashValue="99AX4XaGUVZkgCe9PYpZJL4t5UuACyzikkXbCIMfp1RSt3oTAukcBnK+aigU9hK7ArqXe0RebhmCc0EHH4JG4Q==" workbookSaltValue="TaZ1QzrO6SDrEWbOq3ZSgg==" workbookSpinCount="100000" lockStructure="1"/>
  <bookViews>
    <workbookView xWindow="480" yWindow="135" windowWidth="19395" windowHeight="10995" tabRatio="725" activeTab="1" xr2:uid="{00000000-000D-0000-FFFF-FFFF00000000}"/>
  </bookViews>
  <sheets>
    <sheet name="Insructions" sheetId="9" r:id="rId1"/>
    <sheet name="Main" sheetId="1" r:id="rId2"/>
    <sheet name="loop_gain" sheetId="6" state="hidden" r:id="rId3"/>
    <sheet name="FB_div" sheetId="7" state="hidden" r:id="rId4"/>
    <sheet name="cout_min_calc" sheetId="5" state="hidden" r:id="rId5"/>
    <sheet name="cout_calc" sheetId="4" state="hidden" r:id="rId6"/>
    <sheet name="EA_para" sheetId="8" state="hidden" r:id="rId7"/>
    <sheet name="Helper_calcs" sheetId="2" state="hidden" r:id="rId8"/>
    <sheet name="Notes" sheetId="3" state="hidden" r:id="rId9"/>
    <sheet name="Revision_history" sheetId="11" r:id="rId10"/>
    <sheet name="PFM_auto" sheetId="12" state="hidden" r:id="rId11"/>
    <sheet name="Freq_fold" sheetId="13" state="hidden" r:id="rId12"/>
    <sheet name="Current_limit" sheetId="14" state="hidden" r:id="rId13"/>
  </sheets>
  <calcPr calcId="191029"/>
</workbook>
</file>

<file path=xl/calcChain.xml><?xml version="1.0" encoding="utf-8"?>
<calcChain xmlns="http://schemas.openxmlformats.org/spreadsheetml/2006/main">
  <c r="C19" i="1" l="1"/>
  <c r="A643" i="14" l="1"/>
  <c r="B23" i="14" l="1"/>
  <c r="D23" i="14" s="1"/>
  <c r="A24" i="14"/>
  <c r="B24" i="14" l="1"/>
  <c r="D24" i="14" s="1"/>
  <c r="A25" i="14"/>
  <c r="B20" i="13"/>
  <c r="A21" i="13"/>
  <c r="B21" i="13"/>
  <c r="A22" i="13"/>
  <c r="A23" i="13" s="1"/>
  <c r="A24" i="13" s="1"/>
  <c r="A25" i="13" s="1"/>
  <c r="A26" i="13" s="1"/>
  <c r="A27" i="13" s="1"/>
  <c r="A28" i="13" s="1"/>
  <c r="A29" i="13" s="1"/>
  <c r="A30" i="13" s="1"/>
  <c r="A31" i="13" s="1"/>
  <c r="A32" i="13" s="1"/>
  <c r="A33" i="13" s="1"/>
  <c r="A34" i="13" s="1"/>
  <c r="A35" i="13" s="1"/>
  <c r="A26" i="14" l="1"/>
  <c r="B25" i="14"/>
  <c r="D25" i="14" s="1"/>
  <c r="A36" i="13"/>
  <c r="B35" i="13"/>
  <c r="B34" i="13"/>
  <c r="B30" i="13"/>
  <c r="B26" i="13"/>
  <c r="B22" i="13"/>
  <c r="B33" i="13"/>
  <c r="B29" i="13"/>
  <c r="B25" i="13"/>
  <c r="B32" i="13"/>
  <c r="B28" i="13"/>
  <c r="B24" i="13"/>
  <c r="B31" i="13"/>
  <c r="B27" i="13"/>
  <c r="B23" i="13"/>
  <c r="A109" i="12"/>
  <c r="A110" i="12"/>
  <c r="A111" i="12"/>
  <c r="A112" i="12"/>
  <c r="A113" i="12"/>
  <c r="A114" i="12"/>
  <c r="A115" i="12"/>
  <c r="A116" i="12"/>
  <c r="A117" i="12"/>
  <c r="A108" i="12"/>
  <c r="A27" i="14" l="1"/>
  <c r="B26" i="14"/>
  <c r="D26" i="14" s="1"/>
  <c r="A37" i="13"/>
  <c r="B36" i="13"/>
  <c r="A75" i="12"/>
  <c r="D43" i="12"/>
  <c r="E43" i="12" s="1"/>
  <c r="D44" i="12"/>
  <c r="E44" i="12" s="1"/>
  <c r="D42" i="12"/>
  <c r="E42" i="12" s="1"/>
  <c r="B43" i="12"/>
  <c r="C43" i="12" s="1"/>
  <c r="B44" i="12"/>
  <c r="C44" i="12" s="1"/>
  <c r="B42" i="12"/>
  <c r="C42" i="12" s="1"/>
  <c r="A76" i="12" l="1"/>
  <c r="A118" i="12"/>
  <c r="A28" i="14"/>
  <c r="B27" i="14"/>
  <c r="D27" i="14" s="1"/>
  <c r="A38" i="13"/>
  <c r="B37" i="13"/>
  <c r="B52" i="6"/>
  <c r="A29" i="14" l="1"/>
  <c r="B28" i="14"/>
  <c r="D28" i="14" s="1"/>
  <c r="A77" i="12"/>
  <c r="A119" i="12"/>
  <c r="A39" i="13"/>
  <c r="B38" i="13"/>
  <c r="B10" i="2"/>
  <c r="A78" i="12" l="1"/>
  <c r="A120" i="12"/>
  <c r="A30" i="14"/>
  <c r="B29" i="14"/>
  <c r="D29" i="14" s="1"/>
  <c r="A40" i="13"/>
  <c r="B39" i="13"/>
  <c r="B52" i="12"/>
  <c r="B51" i="12"/>
  <c r="B50" i="12"/>
  <c r="B49" i="12"/>
  <c r="B49" i="2"/>
  <c r="B48" i="12"/>
  <c r="E73" i="7"/>
  <c r="E72" i="7"/>
  <c r="E71" i="7"/>
  <c r="E70" i="7"/>
  <c r="E69" i="7"/>
  <c r="E62" i="7"/>
  <c r="A31" i="14" l="1"/>
  <c r="B30" i="14"/>
  <c r="D30" i="14" s="1"/>
  <c r="A79" i="12"/>
  <c r="A121" i="12"/>
  <c r="A41" i="13"/>
  <c r="B40" i="13"/>
  <c r="B60" i="12"/>
  <c r="B61" i="12"/>
  <c r="D19" i="1"/>
  <c r="A80" i="12" l="1"/>
  <c r="A122" i="12"/>
  <c r="A32" i="14"/>
  <c r="B31" i="14"/>
  <c r="D31" i="14" s="1"/>
  <c r="A42" i="13"/>
  <c r="B41" i="13"/>
  <c r="C21" i="1"/>
  <c r="B21" i="6"/>
  <c r="A33" i="14" l="1"/>
  <c r="B32" i="14"/>
  <c r="D32" i="14" s="1"/>
  <c r="A81" i="12"/>
  <c r="A123" i="12"/>
  <c r="A43" i="13"/>
  <c r="B42" i="13"/>
  <c r="B40" i="2"/>
  <c r="A82" i="12" l="1"/>
  <c r="A124" i="12"/>
  <c r="A34" i="14"/>
  <c r="B33" i="14"/>
  <c r="D33" i="14" s="1"/>
  <c r="B13" i="13"/>
  <c r="B45" i="2"/>
  <c r="C45" i="2" s="1"/>
  <c r="B58" i="1" s="1"/>
  <c r="A44" i="13"/>
  <c r="B43" i="13"/>
  <c r="A35" i="14" l="1"/>
  <c r="B34" i="14"/>
  <c r="D34" i="14" s="1"/>
  <c r="A83" i="12"/>
  <c r="A125" i="12"/>
  <c r="A45" i="13"/>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B44" i="13"/>
  <c r="B116" i="8"/>
  <c r="B115" i="8"/>
  <c r="A52" i="8"/>
  <c r="B52" i="8" s="1"/>
  <c r="B51" i="8"/>
  <c r="I51" i="8" s="1"/>
  <c r="B30" i="8"/>
  <c r="B29" i="8"/>
  <c r="H52" i="8" s="1"/>
  <c r="B28" i="8"/>
  <c r="A84" i="12" l="1"/>
  <c r="A126" i="12"/>
  <c r="A53" i="8"/>
  <c r="B53" i="8" s="1"/>
  <c r="A36" i="14"/>
  <c r="B35" i="14"/>
  <c r="D35" i="14" s="1"/>
  <c r="B45" i="13"/>
  <c r="B33" i="8"/>
  <c r="I52" i="8"/>
  <c r="J52" i="8" s="1"/>
  <c r="H116" i="8"/>
  <c r="H115" i="8"/>
  <c r="B42" i="8"/>
  <c r="H51" i="8"/>
  <c r="H53" i="8"/>
  <c r="A54" i="8"/>
  <c r="I53" i="8"/>
  <c r="I115" i="8"/>
  <c r="I116" i="8"/>
  <c r="A37" i="14" l="1"/>
  <c r="B36" i="14"/>
  <c r="D36" i="14" s="1"/>
  <c r="A85" i="12"/>
  <c r="A127" i="12"/>
  <c r="B46" i="13"/>
  <c r="B28" i="2"/>
  <c r="C18" i="1" s="1"/>
  <c r="B23" i="2"/>
  <c r="K53" i="8"/>
  <c r="L53" i="8" s="1"/>
  <c r="J53" i="8"/>
  <c r="K115" i="8"/>
  <c r="L115" i="8" s="1"/>
  <c r="J115" i="8"/>
  <c r="K52" i="8"/>
  <c r="L52" i="8" s="1"/>
  <c r="C115" i="8"/>
  <c r="B32" i="8"/>
  <c r="C52" i="8"/>
  <c r="C42" i="8"/>
  <c r="C53" i="8"/>
  <c r="K51" i="8"/>
  <c r="L51" i="8" s="1"/>
  <c r="J51" i="8"/>
  <c r="C51" i="8"/>
  <c r="C116" i="8"/>
  <c r="B54" i="8"/>
  <c r="A55" i="8"/>
  <c r="K116" i="8"/>
  <c r="L116" i="8" s="1"/>
  <c r="J116" i="8"/>
  <c r="B14" i="2"/>
  <c r="B15" i="2"/>
  <c r="B23" i="6"/>
  <c r="A86" i="12" l="1"/>
  <c r="A128" i="12"/>
  <c r="A38" i="14"/>
  <c r="B37" i="14"/>
  <c r="D37" i="14" s="1"/>
  <c r="B30" i="6"/>
  <c r="B14" i="14"/>
  <c r="B80" i="1" s="1"/>
  <c r="B47" i="13"/>
  <c r="B55" i="8"/>
  <c r="A56" i="8"/>
  <c r="I54" i="8"/>
  <c r="D54" i="8"/>
  <c r="C54" i="8"/>
  <c r="H54" i="8"/>
  <c r="D116" i="8"/>
  <c r="E116" i="8" s="1"/>
  <c r="B35" i="8"/>
  <c r="B40" i="6" s="1"/>
  <c r="D51" i="8"/>
  <c r="F51" i="8" s="1"/>
  <c r="D52" i="8"/>
  <c r="F52" i="8" s="1"/>
  <c r="D53" i="8"/>
  <c r="D115" i="8"/>
  <c r="F115" i="8" s="1"/>
  <c r="F53" i="8"/>
  <c r="E53" i="8"/>
  <c r="E115" i="8"/>
  <c r="B19" i="6"/>
  <c r="F116" i="8" l="1"/>
  <c r="E51" i="8"/>
  <c r="A39" i="14"/>
  <c r="B38" i="14"/>
  <c r="D38" i="14" s="1"/>
  <c r="A87" i="12"/>
  <c r="A129" i="12"/>
  <c r="B48" i="13"/>
  <c r="K54" i="8"/>
  <c r="L54" i="8" s="1"/>
  <c r="J54" i="8"/>
  <c r="E52" i="8"/>
  <c r="F54" i="8"/>
  <c r="E54" i="8"/>
  <c r="O115" i="8"/>
  <c r="O116" i="8"/>
  <c r="O55" i="8"/>
  <c r="O53" i="8"/>
  <c r="O51" i="8"/>
  <c r="O54" i="8"/>
  <c r="O52" i="8"/>
  <c r="D42" i="8"/>
  <c r="B56" i="8"/>
  <c r="A57" i="8"/>
  <c r="I55" i="8"/>
  <c r="D55" i="8"/>
  <c r="C55" i="8"/>
  <c r="H55" i="8"/>
  <c r="C70" i="7"/>
  <c r="B70" i="7"/>
  <c r="B84" i="6"/>
  <c r="D73" i="7"/>
  <c r="C73" i="7"/>
  <c r="B36" i="6" s="1"/>
  <c r="B73" i="7"/>
  <c r="B48" i="6"/>
  <c r="B47" i="6"/>
  <c r="B24" i="6"/>
  <c r="D59" i="7" s="1"/>
  <c r="B20" i="6"/>
  <c r="B18" i="6"/>
  <c r="B17" i="6"/>
  <c r="A88" i="12" l="1"/>
  <c r="A130" i="12"/>
  <c r="A40" i="14"/>
  <c r="B39" i="14"/>
  <c r="D39" i="14" s="1"/>
  <c r="B11" i="14"/>
  <c r="B15" i="14" s="1"/>
  <c r="K643" i="14" s="1"/>
  <c r="F27" i="14"/>
  <c r="F31" i="14"/>
  <c r="F35" i="14"/>
  <c r="F24" i="14"/>
  <c r="F28" i="14"/>
  <c r="F32" i="14"/>
  <c r="F36" i="14"/>
  <c r="F25" i="14"/>
  <c r="F29" i="14"/>
  <c r="F33" i="14"/>
  <c r="F37" i="14"/>
  <c r="F26" i="14"/>
  <c r="F30" i="14"/>
  <c r="F34" i="14"/>
  <c r="F23" i="14"/>
  <c r="E27" i="14"/>
  <c r="E31" i="14"/>
  <c r="E35" i="14"/>
  <c r="E39" i="14"/>
  <c r="F38" i="14"/>
  <c r="E24" i="14"/>
  <c r="E28" i="14"/>
  <c r="E32" i="14"/>
  <c r="E36" i="14"/>
  <c r="E25" i="14"/>
  <c r="E29" i="14"/>
  <c r="E33" i="14"/>
  <c r="E37" i="14"/>
  <c r="E26" i="14"/>
  <c r="E23" i="14"/>
  <c r="E30" i="14"/>
  <c r="E34" i="14"/>
  <c r="E38" i="14"/>
  <c r="B49" i="13"/>
  <c r="B59" i="12"/>
  <c r="B53" i="12"/>
  <c r="B54" i="12" s="1"/>
  <c r="B39" i="2"/>
  <c r="B12" i="13" s="1"/>
  <c r="B24" i="2"/>
  <c r="B38" i="2"/>
  <c r="B11" i="13" s="1"/>
  <c r="B50" i="6"/>
  <c r="B55" i="6"/>
  <c r="Q52" i="8"/>
  <c r="P52" i="8"/>
  <c r="Q51" i="8"/>
  <c r="P51" i="8"/>
  <c r="P116" i="8"/>
  <c r="Q116" i="8"/>
  <c r="B57" i="8"/>
  <c r="A58" i="8"/>
  <c r="Q53" i="8"/>
  <c r="P53" i="8"/>
  <c r="P115" i="8"/>
  <c r="Q115" i="8"/>
  <c r="K55" i="8"/>
  <c r="L55" i="8" s="1"/>
  <c r="J55" i="8"/>
  <c r="Q54" i="8"/>
  <c r="P54" i="8"/>
  <c r="F55" i="8"/>
  <c r="E55" i="8"/>
  <c r="I56" i="8"/>
  <c r="D56" i="8"/>
  <c r="C56" i="8"/>
  <c r="H56" i="8"/>
  <c r="O56" i="8"/>
  <c r="Q55" i="8"/>
  <c r="P55" i="8"/>
  <c r="B62" i="6"/>
  <c r="C84" i="7"/>
  <c r="B84" i="7"/>
  <c r="C83" i="7"/>
  <c r="B83" i="7"/>
  <c r="C78" i="7"/>
  <c r="C79" i="7" s="1"/>
  <c r="C80" i="7" s="1"/>
  <c r="B78" i="7"/>
  <c r="B79" i="7" s="1"/>
  <c r="B80" i="7" s="1"/>
  <c r="C65" i="7"/>
  <c r="B65" i="7"/>
  <c r="C64" i="7"/>
  <c r="B64" i="7"/>
  <c r="A137" i="6"/>
  <c r="B137" i="6" s="1"/>
  <c r="O137" i="6" s="1"/>
  <c r="B136" i="6"/>
  <c r="A135" i="6"/>
  <c r="B135" i="6" s="1"/>
  <c r="Z135" i="6" s="1"/>
  <c r="B134" i="6"/>
  <c r="Z134" i="6" s="1"/>
  <c r="A114" i="6"/>
  <c r="A115" i="6" s="1"/>
  <c r="A116" i="6" s="1"/>
  <c r="A117" i="6" s="1"/>
  <c r="A118" i="6" s="1"/>
  <c r="A119" i="6" s="1"/>
  <c r="A120" i="6" s="1"/>
  <c r="A121" i="6" s="1"/>
  <c r="A122" i="6" s="1"/>
  <c r="A123" i="6" s="1"/>
  <c r="A124" i="6" s="1"/>
  <c r="A125" i="6" s="1"/>
  <c r="A126" i="6" s="1"/>
  <c r="A127" i="6" s="1"/>
  <c r="A128" i="6" s="1"/>
  <c r="B113" i="6"/>
  <c r="Z113" i="6" s="1"/>
  <c r="B112" i="6"/>
  <c r="Z112" i="6" s="1"/>
  <c r="B111" i="6"/>
  <c r="Z111" i="6" s="1"/>
  <c r="B110" i="6"/>
  <c r="Z110" i="6" s="1"/>
  <c r="B109" i="6"/>
  <c r="O109" i="6" s="1"/>
  <c r="B108" i="6"/>
  <c r="Z108" i="6" s="1"/>
  <c r="B107" i="6"/>
  <c r="Z107" i="6" s="1"/>
  <c r="B106" i="6"/>
  <c r="O106" i="6" s="1"/>
  <c r="B105" i="6"/>
  <c r="O105" i="6" s="1"/>
  <c r="B104" i="6"/>
  <c r="Z104" i="6" s="1"/>
  <c r="B103" i="6"/>
  <c r="Z103" i="6" s="1"/>
  <c r="B102" i="6"/>
  <c r="O102" i="6" s="1"/>
  <c r="B101" i="6"/>
  <c r="Z101" i="6" s="1"/>
  <c r="B100" i="6"/>
  <c r="Z100" i="6" s="1"/>
  <c r="B99" i="6"/>
  <c r="Z99" i="6" s="1"/>
  <c r="B98" i="6"/>
  <c r="Z98" i="6" s="1"/>
  <c r="B97" i="6"/>
  <c r="Z97" i="6" s="1"/>
  <c r="B96" i="6"/>
  <c r="Z96" i="6" s="1"/>
  <c r="B95" i="6"/>
  <c r="B80" i="6"/>
  <c r="K113" i="6" s="1"/>
  <c r="B79" i="6"/>
  <c r="B76" i="6"/>
  <c r="B49" i="6"/>
  <c r="B77" i="6"/>
  <c r="G36" i="14" l="1"/>
  <c r="H36" i="14" s="1"/>
  <c r="I36" i="14" s="1"/>
  <c r="K36" i="14" s="1"/>
  <c r="B12" i="14"/>
  <c r="B13" i="14"/>
  <c r="L643" i="14" s="1"/>
  <c r="G38" i="14"/>
  <c r="H38" i="14" s="1"/>
  <c r="I38" i="14" s="1"/>
  <c r="G33" i="14"/>
  <c r="H33" i="14" s="1"/>
  <c r="I33" i="14" s="1"/>
  <c r="Z109" i="6"/>
  <c r="G27" i="14"/>
  <c r="H27" i="14" s="1"/>
  <c r="I27" i="14" s="1"/>
  <c r="K27" i="14" s="1"/>
  <c r="A41" i="14"/>
  <c r="B40" i="14"/>
  <c r="F39" i="14"/>
  <c r="G39" i="14" s="1"/>
  <c r="A89" i="12"/>
  <c r="A131" i="12"/>
  <c r="G30" i="14"/>
  <c r="H30" i="14" s="1"/>
  <c r="I30" i="14" s="1"/>
  <c r="K30" i="14" s="1"/>
  <c r="G23" i="14"/>
  <c r="G37" i="14"/>
  <c r="G24" i="14"/>
  <c r="G31" i="14"/>
  <c r="G34" i="14"/>
  <c r="G25" i="14"/>
  <c r="G28" i="14"/>
  <c r="K33" i="14"/>
  <c r="K38" i="14"/>
  <c r="G26" i="14"/>
  <c r="G35" i="14"/>
  <c r="G29" i="14"/>
  <c r="G32" i="14"/>
  <c r="B44" i="2"/>
  <c r="C44" i="2" s="1"/>
  <c r="B57" i="1" s="1"/>
  <c r="C20" i="13"/>
  <c r="D20" i="13" s="1"/>
  <c r="C21" i="13"/>
  <c r="D21" i="13" s="1"/>
  <c r="C24" i="13"/>
  <c r="D24" i="13" s="1"/>
  <c r="C22" i="13"/>
  <c r="D22" i="13" s="1"/>
  <c r="C26" i="13"/>
  <c r="D26" i="13" s="1"/>
  <c r="C28" i="13"/>
  <c r="D28" i="13" s="1"/>
  <c r="C25" i="13"/>
  <c r="D25" i="13" s="1"/>
  <c r="C30" i="13"/>
  <c r="D30" i="13" s="1"/>
  <c r="C29" i="13"/>
  <c r="D29" i="13" s="1"/>
  <c r="C23" i="13"/>
  <c r="D23" i="13" s="1"/>
  <c r="C27" i="13"/>
  <c r="D27" i="13" s="1"/>
  <c r="C49" i="13"/>
  <c r="D49" i="13" s="1"/>
  <c r="C35" i="13"/>
  <c r="D35" i="13" s="1"/>
  <c r="C34" i="13"/>
  <c r="D34" i="13" s="1"/>
  <c r="C33" i="13"/>
  <c r="D33" i="13" s="1"/>
  <c r="C31" i="13"/>
  <c r="D31" i="13" s="1"/>
  <c r="C32" i="13"/>
  <c r="D32" i="13" s="1"/>
  <c r="C36" i="13"/>
  <c r="D36" i="13" s="1"/>
  <c r="C37" i="13"/>
  <c r="D37" i="13" s="1"/>
  <c r="C38" i="13"/>
  <c r="D38" i="13" s="1"/>
  <c r="C39" i="13"/>
  <c r="D39" i="13" s="1"/>
  <c r="C40" i="13"/>
  <c r="D40" i="13" s="1"/>
  <c r="C41" i="13"/>
  <c r="D41" i="13" s="1"/>
  <c r="C42" i="13"/>
  <c r="D42" i="13" s="1"/>
  <c r="C43" i="13"/>
  <c r="D43" i="13" s="1"/>
  <c r="C44" i="13"/>
  <c r="D44" i="13" s="1"/>
  <c r="C45" i="13"/>
  <c r="D45" i="13" s="1"/>
  <c r="C46" i="13"/>
  <c r="D46" i="13" s="1"/>
  <c r="C47" i="13"/>
  <c r="D47" i="13" s="1"/>
  <c r="C48" i="13"/>
  <c r="D48" i="13" s="1"/>
  <c r="B50" i="13"/>
  <c r="C50" i="13" s="1"/>
  <c r="D50" i="13" s="1"/>
  <c r="B55" i="12"/>
  <c r="B56" i="12" s="1"/>
  <c r="D76" i="12"/>
  <c r="D69" i="12"/>
  <c r="D73" i="12"/>
  <c r="D77" i="12"/>
  <c r="D81" i="12"/>
  <c r="D85" i="12"/>
  <c r="D67" i="12"/>
  <c r="D75" i="12"/>
  <c r="D83" i="12"/>
  <c r="D68" i="12"/>
  <c r="D80" i="12"/>
  <c r="D88" i="12"/>
  <c r="D65" i="12"/>
  <c r="D66" i="12"/>
  <c r="D70" i="12"/>
  <c r="D74" i="12"/>
  <c r="D78" i="12"/>
  <c r="D82" i="12"/>
  <c r="D86" i="12"/>
  <c r="D71" i="12"/>
  <c r="D79" i="12"/>
  <c r="D87" i="12"/>
  <c r="D72" i="12"/>
  <c r="D84" i="12"/>
  <c r="B31" i="6"/>
  <c r="B51" i="6" s="1"/>
  <c r="B50" i="2"/>
  <c r="B43" i="2"/>
  <c r="C43" i="2" s="1"/>
  <c r="B56" i="1" s="1"/>
  <c r="B58" i="8"/>
  <c r="A59" i="8"/>
  <c r="Q56" i="8"/>
  <c r="P56" i="8"/>
  <c r="I57" i="8"/>
  <c r="D57" i="8"/>
  <c r="C57" i="8"/>
  <c r="H57" i="8"/>
  <c r="O57" i="8"/>
  <c r="K56" i="8"/>
  <c r="L56" i="8" s="1"/>
  <c r="J56" i="8"/>
  <c r="F56" i="8"/>
  <c r="E56" i="8"/>
  <c r="AA96" i="6"/>
  <c r="AA100" i="6"/>
  <c r="AA104" i="6"/>
  <c r="AA108" i="6"/>
  <c r="AA112" i="6"/>
  <c r="AA136" i="6"/>
  <c r="AA97" i="6"/>
  <c r="AA101" i="6"/>
  <c r="AA105" i="6"/>
  <c r="AA109" i="6"/>
  <c r="AA113" i="6"/>
  <c r="AA137" i="6"/>
  <c r="AA98" i="6"/>
  <c r="AA102" i="6"/>
  <c r="AA106" i="6"/>
  <c r="AA110" i="6"/>
  <c r="AA122" i="6"/>
  <c r="AA134" i="6"/>
  <c r="AA95" i="6"/>
  <c r="AA99" i="6"/>
  <c r="AA103" i="6"/>
  <c r="AA107" i="6"/>
  <c r="AA111" i="6"/>
  <c r="AA135" i="6"/>
  <c r="P98" i="6"/>
  <c r="P102" i="6"/>
  <c r="P106" i="6"/>
  <c r="P110" i="6"/>
  <c r="P134" i="6"/>
  <c r="P95" i="6"/>
  <c r="P96" i="6"/>
  <c r="P104" i="6"/>
  <c r="P112" i="6"/>
  <c r="P136" i="6"/>
  <c r="P97" i="6"/>
  <c r="P105" i="6"/>
  <c r="P113" i="6"/>
  <c r="P137" i="6"/>
  <c r="P99" i="6"/>
  <c r="P103" i="6"/>
  <c r="P107" i="6"/>
  <c r="P111" i="6"/>
  <c r="P135" i="6"/>
  <c r="P100" i="6"/>
  <c r="P108" i="6"/>
  <c r="P101" i="6"/>
  <c r="P109" i="6"/>
  <c r="Z137" i="6"/>
  <c r="Z106" i="6"/>
  <c r="Z105" i="6"/>
  <c r="O110" i="6"/>
  <c r="O136" i="6"/>
  <c r="Z136" i="6"/>
  <c r="O95" i="6"/>
  <c r="Z95" i="6"/>
  <c r="Z102" i="6"/>
  <c r="O96" i="6"/>
  <c r="O112" i="6"/>
  <c r="O100" i="6"/>
  <c r="O107" i="6"/>
  <c r="O111" i="6"/>
  <c r="O135" i="6"/>
  <c r="O103" i="6"/>
  <c r="O134" i="6"/>
  <c r="O101" i="6"/>
  <c r="O99" i="6"/>
  <c r="O98" i="6"/>
  <c r="O113" i="6"/>
  <c r="O97" i="6"/>
  <c r="O108" i="6"/>
  <c r="O104" i="6"/>
  <c r="B85" i="7"/>
  <c r="B86" i="7" s="1"/>
  <c r="B71" i="7" s="1"/>
  <c r="C85" i="7"/>
  <c r="C86" i="7" s="1"/>
  <c r="C71" i="7" s="1"/>
  <c r="T113" i="6"/>
  <c r="B114" i="6"/>
  <c r="J113" i="6"/>
  <c r="B115" i="6"/>
  <c r="U135" i="6"/>
  <c r="H135" i="6"/>
  <c r="U134" i="6"/>
  <c r="H134" i="6"/>
  <c r="U137" i="6"/>
  <c r="H137" i="6"/>
  <c r="U136" i="6"/>
  <c r="H136" i="6"/>
  <c r="U112" i="6"/>
  <c r="H112" i="6"/>
  <c r="U113" i="6"/>
  <c r="H113" i="6"/>
  <c r="U108" i="6"/>
  <c r="H108" i="6"/>
  <c r="U104" i="6"/>
  <c r="H104" i="6"/>
  <c r="U100" i="6"/>
  <c r="H100" i="6"/>
  <c r="U96" i="6"/>
  <c r="H96" i="6"/>
  <c r="U111" i="6"/>
  <c r="H110" i="6"/>
  <c r="U105" i="6"/>
  <c r="H105" i="6"/>
  <c r="U101" i="6"/>
  <c r="H101" i="6"/>
  <c r="U97" i="6"/>
  <c r="H97" i="6"/>
  <c r="U109" i="6"/>
  <c r="U106" i="6"/>
  <c r="H106" i="6"/>
  <c r="U102" i="6"/>
  <c r="H102" i="6"/>
  <c r="U98" i="6"/>
  <c r="H98" i="6"/>
  <c r="H111" i="6"/>
  <c r="U110" i="6"/>
  <c r="H109" i="6"/>
  <c r="U107" i="6"/>
  <c r="H107" i="6"/>
  <c r="U103" i="6"/>
  <c r="H103" i="6"/>
  <c r="U99" i="6"/>
  <c r="H99" i="6"/>
  <c r="U95" i="6"/>
  <c r="H95" i="6"/>
  <c r="J97" i="6"/>
  <c r="W97" i="6"/>
  <c r="G98" i="6"/>
  <c r="K98" i="6"/>
  <c r="T98" i="6"/>
  <c r="X98" i="6"/>
  <c r="J101" i="6"/>
  <c r="W101" i="6"/>
  <c r="G102" i="6"/>
  <c r="K102" i="6"/>
  <c r="T102" i="6"/>
  <c r="X102" i="6"/>
  <c r="J105" i="6"/>
  <c r="W105" i="6"/>
  <c r="G106" i="6"/>
  <c r="K106" i="6"/>
  <c r="T106" i="6"/>
  <c r="X106" i="6"/>
  <c r="T109" i="6"/>
  <c r="W135" i="6"/>
  <c r="J135" i="6"/>
  <c r="W134" i="6"/>
  <c r="J134" i="6"/>
  <c r="W137" i="6"/>
  <c r="J137" i="6"/>
  <c r="W136" i="6"/>
  <c r="J136" i="6"/>
  <c r="W110" i="6"/>
  <c r="J110" i="6"/>
  <c r="W111" i="6"/>
  <c r="J111" i="6"/>
  <c r="J96" i="6"/>
  <c r="W96" i="6"/>
  <c r="G97" i="6"/>
  <c r="K97" i="6"/>
  <c r="T97" i="6"/>
  <c r="X97" i="6"/>
  <c r="J100" i="6"/>
  <c r="W100" i="6"/>
  <c r="G101" i="6"/>
  <c r="K101" i="6"/>
  <c r="T101" i="6"/>
  <c r="X101" i="6"/>
  <c r="J104" i="6"/>
  <c r="W104" i="6"/>
  <c r="G105" i="6"/>
  <c r="K105" i="6"/>
  <c r="T105" i="6"/>
  <c r="X105" i="6"/>
  <c r="J108" i="6"/>
  <c r="W108" i="6"/>
  <c r="J109" i="6"/>
  <c r="G110" i="6"/>
  <c r="X110" i="6"/>
  <c r="W112" i="6"/>
  <c r="W114" i="6"/>
  <c r="B117" i="6"/>
  <c r="P117" i="6" s="1"/>
  <c r="B119" i="6"/>
  <c r="W119" i="6" s="1"/>
  <c r="B121" i="6"/>
  <c r="B123" i="6"/>
  <c r="B125" i="6"/>
  <c r="P125" i="6" s="1"/>
  <c r="B127" i="6"/>
  <c r="T137" i="6"/>
  <c r="G137" i="6"/>
  <c r="T136" i="6"/>
  <c r="G136" i="6"/>
  <c r="T135" i="6"/>
  <c r="G135" i="6"/>
  <c r="T134" i="6"/>
  <c r="G134" i="6"/>
  <c r="T111" i="6"/>
  <c r="G111" i="6"/>
  <c r="T112" i="6"/>
  <c r="G112" i="6"/>
  <c r="X137" i="6"/>
  <c r="K137" i="6"/>
  <c r="X136" i="6"/>
  <c r="K136" i="6"/>
  <c r="X135" i="6"/>
  <c r="K135" i="6"/>
  <c r="X134" i="6"/>
  <c r="K134" i="6"/>
  <c r="X111" i="6"/>
  <c r="K111" i="6"/>
  <c r="X112" i="6"/>
  <c r="K112" i="6"/>
  <c r="J95" i="6"/>
  <c r="W95" i="6"/>
  <c r="G96" i="6"/>
  <c r="K96" i="6"/>
  <c r="T96" i="6"/>
  <c r="X96" i="6"/>
  <c r="J99" i="6"/>
  <c r="W99" i="6"/>
  <c r="G100" i="6"/>
  <c r="K100" i="6"/>
  <c r="T100" i="6"/>
  <c r="X100" i="6"/>
  <c r="J103" i="6"/>
  <c r="W103" i="6"/>
  <c r="G104" i="6"/>
  <c r="K104" i="6"/>
  <c r="T104" i="6"/>
  <c r="X104" i="6"/>
  <c r="J107" i="6"/>
  <c r="W107" i="6"/>
  <c r="G108" i="6"/>
  <c r="K108" i="6"/>
  <c r="T108" i="6"/>
  <c r="X108" i="6"/>
  <c r="K109" i="6"/>
  <c r="W109" i="6"/>
  <c r="W113" i="6"/>
  <c r="B128" i="6"/>
  <c r="A129" i="6"/>
  <c r="G114" i="6"/>
  <c r="K125" i="6"/>
  <c r="G95" i="6"/>
  <c r="K95" i="6"/>
  <c r="T95" i="6"/>
  <c r="X95" i="6"/>
  <c r="J98" i="6"/>
  <c r="W98" i="6"/>
  <c r="G99" i="6"/>
  <c r="K99" i="6"/>
  <c r="T99" i="6"/>
  <c r="X99" i="6"/>
  <c r="J102" i="6"/>
  <c r="W102" i="6"/>
  <c r="G103" i="6"/>
  <c r="K103" i="6"/>
  <c r="T103" i="6"/>
  <c r="X103" i="6"/>
  <c r="J106" i="6"/>
  <c r="W106" i="6"/>
  <c r="G107" i="6"/>
  <c r="K107" i="6"/>
  <c r="T107" i="6"/>
  <c r="X107" i="6"/>
  <c r="G109" i="6"/>
  <c r="X109" i="6"/>
  <c r="K110" i="6"/>
  <c r="T110" i="6"/>
  <c r="J112" i="6"/>
  <c r="G113" i="6"/>
  <c r="X113" i="6"/>
  <c r="J114" i="6"/>
  <c r="B116" i="6"/>
  <c r="B118" i="6"/>
  <c r="B120" i="6"/>
  <c r="AA120" i="6" s="1"/>
  <c r="B122" i="6"/>
  <c r="B124" i="6"/>
  <c r="W125" i="6"/>
  <c r="B126" i="6"/>
  <c r="P126" i="6" s="1"/>
  <c r="A138" i="6"/>
  <c r="L31" i="14" l="1"/>
  <c r="L38" i="14"/>
  <c r="L33" i="14"/>
  <c r="L25" i="14"/>
  <c r="L40" i="14"/>
  <c r="L34" i="14"/>
  <c r="B16" i="14"/>
  <c r="M643" i="14" s="1"/>
  <c r="B18" i="14" s="1"/>
  <c r="C20" i="1" s="1"/>
  <c r="L30" i="14"/>
  <c r="L36" i="14"/>
  <c r="L23" i="14"/>
  <c r="L26" i="14"/>
  <c r="L32" i="14"/>
  <c r="L39" i="14"/>
  <c r="L41" i="14"/>
  <c r="L28" i="14"/>
  <c r="L35" i="14"/>
  <c r="L37" i="14"/>
  <c r="L24" i="14"/>
  <c r="L27" i="14"/>
  <c r="L29" i="14"/>
  <c r="Z124" i="6"/>
  <c r="AA124" i="6"/>
  <c r="Z123" i="6"/>
  <c r="P123" i="6"/>
  <c r="Z122" i="6"/>
  <c r="P122" i="6"/>
  <c r="Z121" i="6"/>
  <c r="P121" i="6"/>
  <c r="AA121" i="6"/>
  <c r="Z120" i="6"/>
  <c r="P120" i="6"/>
  <c r="Z128" i="6"/>
  <c r="P128" i="6"/>
  <c r="A90" i="12"/>
  <c r="A132" i="12"/>
  <c r="D89" i="12"/>
  <c r="Z118" i="6"/>
  <c r="P118" i="6"/>
  <c r="AA118" i="6"/>
  <c r="T125" i="6"/>
  <c r="Z114" i="6"/>
  <c r="P114" i="6"/>
  <c r="AA114" i="6"/>
  <c r="P124" i="6"/>
  <c r="Z119" i="6"/>
  <c r="P119" i="6"/>
  <c r="AA119" i="6"/>
  <c r="AA123" i="6"/>
  <c r="X116" i="6"/>
  <c r="AA116" i="6"/>
  <c r="P116" i="6"/>
  <c r="Z115" i="6"/>
  <c r="P115" i="6"/>
  <c r="AA115" i="6"/>
  <c r="Z126" i="6"/>
  <c r="AA126" i="6"/>
  <c r="T119" i="6"/>
  <c r="Z127" i="6"/>
  <c r="AA127" i="6"/>
  <c r="Z117" i="6"/>
  <c r="AA117" i="6"/>
  <c r="K119" i="6"/>
  <c r="Z125" i="6"/>
  <c r="AA125" i="6"/>
  <c r="P127" i="6"/>
  <c r="AA128" i="6"/>
  <c r="D40" i="14"/>
  <c r="E40" i="14"/>
  <c r="F40" i="14"/>
  <c r="A42" i="14"/>
  <c r="B41" i="14"/>
  <c r="H29" i="14"/>
  <c r="H35" i="14"/>
  <c r="H34" i="14"/>
  <c r="I34" i="14" s="1"/>
  <c r="K34" i="14" s="1"/>
  <c r="H32" i="14"/>
  <c r="H26" i="14"/>
  <c r="H31" i="14"/>
  <c r="H24" i="14"/>
  <c r="H37" i="14"/>
  <c r="H28" i="14"/>
  <c r="H25" i="14"/>
  <c r="I25" i="14" s="1"/>
  <c r="K25" i="14" s="1"/>
  <c r="H39" i="14"/>
  <c r="H23" i="14"/>
  <c r="I23" i="14" s="1"/>
  <c r="K23" i="14" s="1"/>
  <c r="B51" i="13"/>
  <c r="C51" i="13" s="1"/>
  <c r="D51" i="13" s="1"/>
  <c r="C78" i="12"/>
  <c r="C67" i="12"/>
  <c r="C71" i="12"/>
  <c r="C75" i="12"/>
  <c r="C79" i="12"/>
  <c r="C83" i="12"/>
  <c r="C87" i="12"/>
  <c r="C73" i="12"/>
  <c r="C81" i="12"/>
  <c r="C89" i="12"/>
  <c r="C70" i="12"/>
  <c r="C86" i="12"/>
  <c r="C68" i="12"/>
  <c r="C72" i="12"/>
  <c r="C76" i="12"/>
  <c r="C80" i="12"/>
  <c r="C84" i="12"/>
  <c r="C88" i="12"/>
  <c r="C65" i="12"/>
  <c r="C69" i="12"/>
  <c r="C77" i="12"/>
  <c r="C85" i="12"/>
  <c r="C66" i="12"/>
  <c r="C74" i="12"/>
  <c r="C82" i="12"/>
  <c r="C90" i="12"/>
  <c r="B57" i="12"/>
  <c r="B58" i="12" s="1"/>
  <c r="B52" i="2"/>
  <c r="B28" i="1" s="1"/>
  <c r="B29" i="1"/>
  <c r="K57" i="8"/>
  <c r="L57" i="8" s="1"/>
  <c r="J57" i="8"/>
  <c r="F57" i="8"/>
  <c r="E57" i="8"/>
  <c r="B59" i="8"/>
  <c r="A60" i="8"/>
  <c r="Q57" i="8"/>
  <c r="P57" i="8"/>
  <c r="I58" i="8"/>
  <c r="D58" i="8"/>
  <c r="C58" i="8"/>
  <c r="H58" i="8"/>
  <c r="O58" i="8"/>
  <c r="T114" i="6"/>
  <c r="W123" i="6"/>
  <c r="K114" i="6"/>
  <c r="H114" i="6"/>
  <c r="X114" i="6"/>
  <c r="U114" i="6"/>
  <c r="J124" i="6"/>
  <c r="W121" i="6"/>
  <c r="J116" i="6"/>
  <c r="Z116" i="6"/>
  <c r="X127" i="6"/>
  <c r="T121" i="6"/>
  <c r="K121" i="6"/>
  <c r="T127" i="6"/>
  <c r="J121" i="6"/>
  <c r="T122" i="6"/>
  <c r="O122" i="6"/>
  <c r="O115" i="6"/>
  <c r="O127" i="6"/>
  <c r="O121" i="6"/>
  <c r="G118" i="6"/>
  <c r="O118" i="6"/>
  <c r="O124" i="6"/>
  <c r="O120" i="6"/>
  <c r="O116" i="6"/>
  <c r="X124" i="6"/>
  <c r="J125" i="6"/>
  <c r="O125" i="6"/>
  <c r="O119" i="6"/>
  <c r="O114" i="6"/>
  <c r="G126" i="6"/>
  <c r="O126" i="6"/>
  <c r="O128" i="6"/>
  <c r="K123" i="6"/>
  <c r="O123" i="6"/>
  <c r="J117" i="6"/>
  <c r="O117" i="6"/>
  <c r="J122" i="6"/>
  <c r="J115" i="6"/>
  <c r="X115" i="6"/>
  <c r="H115" i="6"/>
  <c r="W115" i="6"/>
  <c r="T123" i="6"/>
  <c r="T117" i="6"/>
  <c r="T115" i="6"/>
  <c r="W117" i="6"/>
  <c r="K117" i="6"/>
  <c r="K115" i="6"/>
  <c r="K127" i="6"/>
  <c r="G115" i="6"/>
  <c r="U115" i="6"/>
  <c r="U120" i="6"/>
  <c r="T120" i="6"/>
  <c r="H120" i="6"/>
  <c r="K120" i="6"/>
  <c r="B138" i="6"/>
  <c r="A139" i="6"/>
  <c r="U126" i="6"/>
  <c r="H126" i="6"/>
  <c r="J120" i="6"/>
  <c r="U118" i="6"/>
  <c r="H118" i="6"/>
  <c r="T118" i="6"/>
  <c r="X126" i="6"/>
  <c r="G122" i="6"/>
  <c r="X118" i="6"/>
  <c r="X123" i="6"/>
  <c r="U123" i="6"/>
  <c r="H123" i="6"/>
  <c r="W120" i="6"/>
  <c r="W128" i="6"/>
  <c r="T126" i="6"/>
  <c r="G123" i="6"/>
  <c r="X119" i="6"/>
  <c r="T116" i="6"/>
  <c r="G120" i="6"/>
  <c r="B129" i="6"/>
  <c r="A130" i="6"/>
  <c r="J127" i="6"/>
  <c r="X125" i="6"/>
  <c r="U125" i="6"/>
  <c r="H125" i="6"/>
  <c r="G125" i="6"/>
  <c r="W122" i="6"/>
  <c r="J119" i="6"/>
  <c r="U117" i="6"/>
  <c r="H117" i="6"/>
  <c r="G117" i="6"/>
  <c r="K126" i="6"/>
  <c r="K116" i="6"/>
  <c r="U122" i="6"/>
  <c r="K122" i="6"/>
  <c r="H122" i="6"/>
  <c r="X122" i="6"/>
  <c r="K128" i="6"/>
  <c r="G128" i="6"/>
  <c r="W127" i="6"/>
  <c r="U127" i="6"/>
  <c r="H127" i="6"/>
  <c r="G127" i="6"/>
  <c r="W124" i="6"/>
  <c r="G119" i="6"/>
  <c r="U119" i="6"/>
  <c r="H119" i="6"/>
  <c r="W116" i="6"/>
  <c r="T124" i="6"/>
  <c r="K118" i="6"/>
  <c r="U128" i="6"/>
  <c r="H128" i="6"/>
  <c r="J126" i="6"/>
  <c r="U124" i="6"/>
  <c r="H124" i="6"/>
  <c r="J118" i="6"/>
  <c r="U116" i="6"/>
  <c r="H116" i="6"/>
  <c r="G124" i="6"/>
  <c r="X120" i="6"/>
  <c r="G116" i="6"/>
  <c r="X128" i="6"/>
  <c r="T128" i="6"/>
  <c r="W126" i="6"/>
  <c r="J123" i="6"/>
  <c r="U121" i="6"/>
  <c r="H121" i="6"/>
  <c r="X121" i="6"/>
  <c r="W118" i="6"/>
  <c r="J128" i="6"/>
  <c r="K124" i="6"/>
  <c r="G121" i="6"/>
  <c r="X117" i="6"/>
  <c r="B53" i="6"/>
  <c r="M36" i="14" l="1"/>
  <c r="N36" i="14" s="1"/>
  <c r="M27" i="14"/>
  <c r="N27" i="14" s="1"/>
  <c r="M34" i="14"/>
  <c r="P34" i="14" s="1"/>
  <c r="M25" i="14"/>
  <c r="N25" i="14" s="1"/>
  <c r="M38" i="14"/>
  <c r="P38" i="14" s="1"/>
  <c r="M30" i="14"/>
  <c r="P30" i="14" s="1"/>
  <c r="B81" i="1"/>
  <c r="M33" i="14"/>
  <c r="N33" i="14" s="1"/>
  <c r="B79" i="1"/>
  <c r="M23" i="14"/>
  <c r="P23" i="14" s="1"/>
  <c r="G40" i="14"/>
  <c r="H40" i="14" s="1"/>
  <c r="I40" i="14" s="1"/>
  <c r="K40" i="14" s="1"/>
  <c r="M40" i="14" s="1"/>
  <c r="P40" i="14" s="1"/>
  <c r="A91" i="12"/>
  <c r="A133" i="12"/>
  <c r="D90" i="12"/>
  <c r="Z138" i="6"/>
  <c r="AA138" i="6"/>
  <c r="P138" i="6"/>
  <c r="Z129" i="6"/>
  <c r="P129" i="6"/>
  <c r="AA129" i="6"/>
  <c r="D41" i="14"/>
  <c r="F41" i="14"/>
  <c r="E41" i="14"/>
  <c r="A43" i="14"/>
  <c r="B42" i="14"/>
  <c r="L42" i="14"/>
  <c r="I24" i="14"/>
  <c r="K24" i="14" s="1"/>
  <c r="M24" i="14" s="1"/>
  <c r="I28" i="14"/>
  <c r="K28" i="14" s="1"/>
  <c r="M28" i="14" s="1"/>
  <c r="P28" i="14" s="1"/>
  <c r="I32" i="14"/>
  <c r="K32" i="14" s="1"/>
  <c r="M32" i="14" s="1"/>
  <c r="P32" i="14" s="1"/>
  <c r="I35" i="14"/>
  <c r="K35" i="14" s="1"/>
  <c r="M35" i="14" s="1"/>
  <c r="I31" i="14"/>
  <c r="K31" i="14" s="1"/>
  <c r="M31" i="14" s="1"/>
  <c r="I37" i="14"/>
  <c r="K37" i="14" s="1"/>
  <c r="M37" i="14" s="1"/>
  <c r="I29" i="14"/>
  <c r="K29" i="14" s="1"/>
  <c r="M29" i="14" s="1"/>
  <c r="P29" i="14" s="1"/>
  <c r="I26" i="14"/>
  <c r="K26" i="14" s="1"/>
  <c r="M26" i="14" s="1"/>
  <c r="I39" i="14"/>
  <c r="K39" i="14" s="1"/>
  <c r="M39" i="14" s="1"/>
  <c r="B52" i="13"/>
  <c r="C52" i="13" s="1"/>
  <c r="D52" i="13" s="1"/>
  <c r="B71" i="12"/>
  <c r="F71" i="12" s="1"/>
  <c r="B114" i="12" s="1"/>
  <c r="B87" i="12"/>
  <c r="F87" i="12" s="1"/>
  <c r="B130" i="12" s="1"/>
  <c r="B82" i="12"/>
  <c r="F82" i="12" s="1"/>
  <c r="B125" i="12" s="1"/>
  <c r="B72" i="12"/>
  <c r="F72" i="12" s="1"/>
  <c r="B115" i="12" s="1"/>
  <c r="B88" i="12"/>
  <c r="F88" i="12" s="1"/>
  <c r="B131" i="12" s="1"/>
  <c r="B65" i="12"/>
  <c r="F65" i="12" s="1"/>
  <c r="B108" i="12" s="1"/>
  <c r="B76" i="12"/>
  <c r="F76" i="12" s="1"/>
  <c r="B119" i="12" s="1"/>
  <c r="B69" i="12"/>
  <c r="F69" i="12" s="1"/>
  <c r="B112" i="12" s="1"/>
  <c r="B75" i="12"/>
  <c r="F75" i="12" s="1"/>
  <c r="B118" i="12" s="1"/>
  <c r="B91" i="12"/>
  <c r="B73" i="12"/>
  <c r="F73" i="12" s="1"/>
  <c r="B116" i="12" s="1"/>
  <c r="B90" i="12"/>
  <c r="F90" i="12" s="1"/>
  <c r="B133" i="12" s="1"/>
  <c r="B66" i="12"/>
  <c r="F66" i="12" s="1"/>
  <c r="B109" i="12" s="1"/>
  <c r="B79" i="12"/>
  <c r="F79" i="12" s="1"/>
  <c r="B122" i="12" s="1"/>
  <c r="B81" i="12"/>
  <c r="F81" i="12" s="1"/>
  <c r="B124" i="12" s="1"/>
  <c r="B70" i="12"/>
  <c r="F70" i="12" s="1"/>
  <c r="B113" i="12" s="1"/>
  <c r="B80" i="12"/>
  <c r="F80" i="12" s="1"/>
  <c r="B123" i="12" s="1"/>
  <c r="B77" i="12"/>
  <c r="F77" i="12" s="1"/>
  <c r="B120" i="12" s="1"/>
  <c r="B78" i="12"/>
  <c r="F78" i="12" s="1"/>
  <c r="B121" i="12" s="1"/>
  <c r="B67" i="12"/>
  <c r="F67" i="12" s="1"/>
  <c r="B110" i="12" s="1"/>
  <c r="B83" i="12"/>
  <c r="F83" i="12" s="1"/>
  <c r="B126" i="12" s="1"/>
  <c r="B89" i="12"/>
  <c r="F89" i="12" s="1"/>
  <c r="B132" i="12" s="1"/>
  <c r="B74" i="12"/>
  <c r="F74" i="12" s="1"/>
  <c r="B117" i="12" s="1"/>
  <c r="B68" i="12"/>
  <c r="F68" i="12" s="1"/>
  <c r="B111" i="12" s="1"/>
  <c r="B84" i="12"/>
  <c r="F84" i="12" s="1"/>
  <c r="B127" i="12" s="1"/>
  <c r="B85" i="12"/>
  <c r="F85" i="12" s="1"/>
  <c r="B128" i="12" s="1"/>
  <c r="B86" i="12"/>
  <c r="F86" i="12" s="1"/>
  <c r="B129" i="12" s="1"/>
  <c r="K58" i="8"/>
  <c r="L58" i="8" s="1"/>
  <c r="J58" i="8"/>
  <c r="F58" i="8"/>
  <c r="E58" i="8"/>
  <c r="B60" i="8"/>
  <c r="A61" i="8"/>
  <c r="Q58" i="8"/>
  <c r="P58" i="8"/>
  <c r="I59" i="8"/>
  <c r="D59" i="8"/>
  <c r="C59" i="8"/>
  <c r="H59" i="8"/>
  <c r="O59" i="8"/>
  <c r="O138" i="6"/>
  <c r="O129" i="6"/>
  <c r="B54" i="6"/>
  <c r="B130" i="6"/>
  <c r="A131" i="6"/>
  <c r="B139" i="6"/>
  <c r="A140" i="6"/>
  <c r="W129" i="6"/>
  <c r="U129" i="6"/>
  <c r="H129" i="6"/>
  <c r="J129" i="6"/>
  <c r="T129" i="6"/>
  <c r="X129" i="6"/>
  <c r="G129" i="6"/>
  <c r="K129" i="6"/>
  <c r="J138" i="6"/>
  <c r="U138" i="6"/>
  <c r="H138" i="6"/>
  <c r="G138" i="6"/>
  <c r="W138" i="6"/>
  <c r="X138" i="6"/>
  <c r="T138" i="6"/>
  <c r="K138" i="6"/>
  <c r="P27" i="14" l="1"/>
  <c r="N34" i="14"/>
  <c r="O34" i="14" s="1"/>
  <c r="P36" i="14"/>
  <c r="N38" i="14"/>
  <c r="O38" i="14" s="1"/>
  <c r="P25" i="14"/>
  <c r="P33" i="14"/>
  <c r="N23" i="14"/>
  <c r="O23" i="14" s="1"/>
  <c r="N30" i="14"/>
  <c r="O30" i="14" s="1"/>
  <c r="N40" i="14"/>
  <c r="O40" i="14" s="1"/>
  <c r="D42" i="14"/>
  <c r="E42" i="14"/>
  <c r="F42" i="14"/>
  <c r="Z139" i="6"/>
  <c r="AA139" i="6"/>
  <c r="P139" i="6"/>
  <c r="G41" i="14"/>
  <c r="H41" i="14" s="1"/>
  <c r="I41" i="14" s="1"/>
  <c r="K41" i="14" s="1"/>
  <c r="M41" i="14" s="1"/>
  <c r="A44" i="14"/>
  <c r="B43" i="14"/>
  <c r="L43" i="14"/>
  <c r="Z130" i="6"/>
  <c r="P130" i="6"/>
  <c r="AA130" i="6"/>
  <c r="A92" i="12"/>
  <c r="A134" i="12"/>
  <c r="D91" i="12"/>
  <c r="C91" i="12"/>
  <c r="F91" i="12" s="1"/>
  <c r="B134" i="12" s="1"/>
  <c r="P26" i="14"/>
  <c r="N26" i="14"/>
  <c r="O26" i="14" s="1"/>
  <c r="N24" i="14"/>
  <c r="O24" i="14" s="1"/>
  <c r="P24" i="14"/>
  <c r="N29" i="14"/>
  <c r="O29" i="14" s="1"/>
  <c r="P39" i="14"/>
  <c r="N39" i="14"/>
  <c r="O39" i="14" s="1"/>
  <c r="P35" i="14"/>
  <c r="N35" i="14"/>
  <c r="O35" i="14" s="1"/>
  <c r="P37" i="14"/>
  <c r="N37" i="14"/>
  <c r="O37" i="14" s="1"/>
  <c r="P31" i="14"/>
  <c r="N31" i="14"/>
  <c r="O31" i="14" s="1"/>
  <c r="N32" i="14"/>
  <c r="O32" i="14" s="1"/>
  <c r="N28" i="14"/>
  <c r="O28" i="14" s="1"/>
  <c r="O27" i="14"/>
  <c r="O25" i="14"/>
  <c r="O33" i="14"/>
  <c r="O36" i="14"/>
  <c r="B53" i="13"/>
  <c r="C53" i="13" s="1"/>
  <c r="D53" i="13" s="1"/>
  <c r="K59" i="8"/>
  <c r="L59" i="8" s="1"/>
  <c r="J59" i="8"/>
  <c r="F59" i="8"/>
  <c r="E59" i="8"/>
  <c r="B61" i="8"/>
  <c r="A62" i="8"/>
  <c r="Q59" i="8"/>
  <c r="P59" i="8"/>
  <c r="I60" i="8"/>
  <c r="D60" i="8"/>
  <c r="C60" i="8"/>
  <c r="H60" i="8"/>
  <c r="O60" i="8"/>
  <c r="O139" i="6"/>
  <c r="O130" i="6"/>
  <c r="B140" i="6"/>
  <c r="A141" i="6"/>
  <c r="U139" i="6"/>
  <c r="H139" i="6"/>
  <c r="W139" i="6"/>
  <c r="X139" i="6"/>
  <c r="J139" i="6"/>
  <c r="T139" i="6"/>
  <c r="K139" i="6"/>
  <c r="G139" i="6"/>
  <c r="B72" i="6"/>
  <c r="C54" i="6"/>
  <c r="A132" i="6"/>
  <c r="B131" i="6"/>
  <c r="U130" i="6"/>
  <c r="H130" i="6"/>
  <c r="W130" i="6"/>
  <c r="T130" i="6"/>
  <c r="X130" i="6"/>
  <c r="J130" i="6"/>
  <c r="G130" i="6"/>
  <c r="K130" i="6"/>
  <c r="A45" i="14" l="1"/>
  <c r="B44" i="14"/>
  <c r="L44" i="14"/>
  <c r="P41" i="14"/>
  <c r="N41" i="14"/>
  <c r="O41" i="14" s="1"/>
  <c r="Z140" i="6"/>
  <c r="AA140" i="6"/>
  <c r="P140" i="6"/>
  <c r="Z131" i="6"/>
  <c r="P131" i="6"/>
  <c r="AA131" i="6"/>
  <c r="G42" i="14"/>
  <c r="H42" i="14" s="1"/>
  <c r="I42" i="14" s="1"/>
  <c r="K42" i="14" s="1"/>
  <c r="M42" i="14" s="1"/>
  <c r="P42" i="14" s="1"/>
  <c r="A93" i="12"/>
  <c r="A135" i="12"/>
  <c r="D92" i="12"/>
  <c r="C92" i="12"/>
  <c r="B92" i="12"/>
  <c r="D43" i="14"/>
  <c r="F43" i="14"/>
  <c r="E43" i="14"/>
  <c r="B54" i="13"/>
  <c r="C54" i="13" s="1"/>
  <c r="D54" i="13" s="1"/>
  <c r="K60" i="8"/>
  <c r="L60" i="8" s="1"/>
  <c r="J60" i="8"/>
  <c r="F60" i="8"/>
  <c r="E60" i="8"/>
  <c r="B62" i="8"/>
  <c r="A63" i="8"/>
  <c r="Q60" i="8"/>
  <c r="P60" i="8"/>
  <c r="I61" i="8"/>
  <c r="D61" i="8"/>
  <c r="C61" i="8"/>
  <c r="H61" i="8"/>
  <c r="O61" i="8"/>
  <c r="O131" i="6"/>
  <c r="O140" i="6"/>
  <c r="W131" i="6"/>
  <c r="U131" i="6"/>
  <c r="H131" i="6"/>
  <c r="T131" i="6"/>
  <c r="X131" i="6"/>
  <c r="J131" i="6"/>
  <c r="G131" i="6"/>
  <c r="K131" i="6"/>
  <c r="B132" i="6"/>
  <c r="A133" i="6"/>
  <c r="B133" i="6" s="1"/>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7" i="6"/>
  <c r="C189" i="6"/>
  <c r="C188" i="6"/>
  <c r="C186" i="6"/>
  <c r="C185" i="6"/>
  <c r="C184" i="6"/>
  <c r="C183" i="6"/>
  <c r="C182" i="6"/>
  <c r="C181" i="6"/>
  <c r="C180" i="6"/>
  <c r="C179" i="6"/>
  <c r="C178" i="6"/>
  <c r="C177" i="6"/>
  <c r="C174" i="6"/>
  <c r="C176" i="6"/>
  <c r="C173" i="6"/>
  <c r="C172" i="6"/>
  <c r="C171" i="6"/>
  <c r="C170" i="6"/>
  <c r="C169" i="6"/>
  <c r="C168" i="6"/>
  <c r="C167" i="6"/>
  <c r="C166" i="6"/>
  <c r="C165" i="6"/>
  <c r="C164" i="6"/>
  <c r="C163" i="6"/>
  <c r="C162" i="6"/>
  <c r="C161" i="6"/>
  <c r="C160" i="6"/>
  <c r="C159" i="6"/>
  <c r="C158" i="6"/>
  <c r="C157" i="6"/>
  <c r="C175" i="6"/>
  <c r="C155" i="6"/>
  <c r="C151" i="6"/>
  <c r="C150" i="6"/>
  <c r="C149" i="6"/>
  <c r="C148" i="6"/>
  <c r="C147" i="6"/>
  <c r="C146" i="6"/>
  <c r="C145" i="6"/>
  <c r="C144" i="6"/>
  <c r="C143" i="6"/>
  <c r="C142" i="6"/>
  <c r="C141" i="6"/>
  <c r="C140" i="6"/>
  <c r="C139" i="6"/>
  <c r="C138" i="6"/>
  <c r="C137" i="6"/>
  <c r="C136" i="6"/>
  <c r="C154" i="6"/>
  <c r="C153" i="6"/>
  <c r="C133" i="6"/>
  <c r="C156" i="6"/>
  <c r="C152" i="6"/>
  <c r="C135" i="6"/>
  <c r="C134" i="6"/>
  <c r="C132" i="6"/>
  <c r="C131" i="6"/>
  <c r="C130" i="6"/>
  <c r="C129" i="6"/>
  <c r="C128" i="6"/>
  <c r="C111" i="6"/>
  <c r="C112" i="6"/>
  <c r="C110" i="6"/>
  <c r="C107" i="6"/>
  <c r="C103" i="6"/>
  <c r="C99" i="6"/>
  <c r="C95" i="6"/>
  <c r="C127" i="6"/>
  <c r="C125" i="6"/>
  <c r="C123" i="6"/>
  <c r="C121" i="6"/>
  <c r="C119" i="6"/>
  <c r="C117" i="6"/>
  <c r="C115" i="6"/>
  <c r="C108" i="6"/>
  <c r="C104" i="6"/>
  <c r="C100" i="6"/>
  <c r="C96" i="6"/>
  <c r="C113" i="6"/>
  <c r="C105" i="6"/>
  <c r="C101" i="6"/>
  <c r="C97" i="6"/>
  <c r="C126" i="6"/>
  <c r="C124" i="6"/>
  <c r="C122" i="6"/>
  <c r="C120" i="6"/>
  <c r="C118" i="6"/>
  <c r="C116" i="6"/>
  <c r="C114" i="6"/>
  <c r="C109" i="6"/>
  <c r="C106" i="6"/>
  <c r="C102" i="6"/>
  <c r="C98" i="6"/>
  <c r="B141" i="6"/>
  <c r="A142" i="6"/>
  <c r="J140" i="6"/>
  <c r="U140" i="6"/>
  <c r="H140" i="6"/>
  <c r="G140" i="6"/>
  <c r="X140" i="6"/>
  <c r="W140" i="6"/>
  <c r="T140" i="6"/>
  <c r="K140" i="6"/>
  <c r="N42" i="14" l="1"/>
  <c r="O42" i="14" s="1"/>
  <c r="A94" i="12"/>
  <c r="A136" i="12"/>
  <c r="D93" i="12"/>
  <c r="C93" i="12"/>
  <c r="B93" i="12"/>
  <c r="G43" i="14"/>
  <c r="H43" i="14" s="1"/>
  <c r="I43" i="14" s="1"/>
  <c r="K43" i="14" s="1"/>
  <c r="M43" i="14" s="1"/>
  <c r="P43" i="14" s="1"/>
  <c r="Z141" i="6"/>
  <c r="AA141" i="6"/>
  <c r="P141" i="6"/>
  <c r="F92" i="12"/>
  <c r="B135" i="12" s="1"/>
  <c r="Z133" i="6"/>
  <c r="AA133" i="6"/>
  <c r="P133" i="6"/>
  <c r="D44" i="14"/>
  <c r="E44" i="14"/>
  <c r="F44" i="14"/>
  <c r="Z132" i="6"/>
  <c r="AA132" i="6"/>
  <c r="P132" i="6"/>
  <c r="A46" i="14"/>
  <c r="B45" i="14"/>
  <c r="L45" i="14"/>
  <c r="B55" i="13"/>
  <c r="C55" i="13" s="1"/>
  <c r="D55" i="13" s="1"/>
  <c r="K61" i="8"/>
  <c r="L61" i="8" s="1"/>
  <c r="J61" i="8"/>
  <c r="F61" i="8"/>
  <c r="E61" i="8"/>
  <c r="B63" i="8"/>
  <c r="A64" i="8"/>
  <c r="Q61" i="8"/>
  <c r="P61" i="8"/>
  <c r="I62" i="8"/>
  <c r="D62" i="8"/>
  <c r="C62" i="8"/>
  <c r="H62" i="8"/>
  <c r="O62" i="8"/>
  <c r="O133" i="6"/>
  <c r="O132" i="6"/>
  <c r="O141" i="6"/>
  <c r="H132" i="6"/>
  <c r="U132" i="6"/>
  <c r="X132" i="6"/>
  <c r="W132" i="6"/>
  <c r="K132" i="6"/>
  <c r="J132" i="6"/>
  <c r="T132" i="6"/>
  <c r="G132" i="6"/>
  <c r="B142" i="6"/>
  <c r="A143" i="6"/>
  <c r="U141" i="6"/>
  <c r="H141" i="6"/>
  <c r="X141" i="6"/>
  <c r="W141" i="6"/>
  <c r="T141" i="6"/>
  <c r="K141" i="6"/>
  <c r="J141" i="6"/>
  <c r="G141" i="6"/>
  <c r="U133" i="6"/>
  <c r="W133" i="6"/>
  <c r="H133" i="6"/>
  <c r="J133" i="6"/>
  <c r="K133" i="6"/>
  <c r="T133" i="6"/>
  <c r="G133" i="6"/>
  <c r="X133" i="6"/>
  <c r="N43" i="14" l="1"/>
  <c r="O43" i="14" s="1"/>
  <c r="F93" i="12"/>
  <c r="B136" i="12" s="1"/>
  <c r="G44" i="14"/>
  <c r="H44" i="14" s="1"/>
  <c r="I44" i="14" s="1"/>
  <c r="K44" i="14" s="1"/>
  <c r="M44" i="14" s="1"/>
  <c r="N44" i="14" s="1"/>
  <c r="O44" i="14" s="1"/>
  <c r="Z142" i="6"/>
  <c r="P142" i="6"/>
  <c r="AA142" i="6"/>
  <c r="D45" i="14"/>
  <c r="F45" i="14"/>
  <c r="E45" i="14"/>
  <c r="A47" i="14"/>
  <c r="B46" i="14"/>
  <c r="L46" i="14"/>
  <c r="A95" i="12"/>
  <c r="A137" i="12"/>
  <c r="D94" i="12"/>
  <c r="C94" i="12"/>
  <c r="B94" i="12"/>
  <c r="B56" i="13"/>
  <c r="C56" i="13" s="1"/>
  <c r="D56" i="13" s="1"/>
  <c r="I63" i="8"/>
  <c r="D63" i="8"/>
  <c r="C63" i="8"/>
  <c r="H63" i="8"/>
  <c r="O63" i="8"/>
  <c r="K62" i="8"/>
  <c r="L62" i="8" s="1"/>
  <c r="J62" i="8"/>
  <c r="F62" i="8"/>
  <c r="E62" i="8"/>
  <c r="B64" i="8"/>
  <c r="A65" i="8"/>
  <c r="Q62" i="8"/>
  <c r="P62" i="8"/>
  <c r="O142" i="6"/>
  <c r="B143" i="6"/>
  <c r="A144" i="6"/>
  <c r="J142" i="6"/>
  <c r="U142" i="6"/>
  <c r="H142" i="6"/>
  <c r="W142" i="6"/>
  <c r="G142" i="6"/>
  <c r="X142" i="6"/>
  <c r="T142" i="6"/>
  <c r="K142" i="6"/>
  <c r="P44" i="14" l="1"/>
  <c r="G45" i="14"/>
  <c r="H45" i="14" s="1"/>
  <c r="I45" i="14" s="1"/>
  <c r="K45" i="14" s="1"/>
  <c r="M45" i="14" s="1"/>
  <c r="A48" i="14"/>
  <c r="B47" i="14"/>
  <c r="L47" i="14"/>
  <c r="A96" i="12"/>
  <c r="A138" i="12"/>
  <c r="D95" i="12"/>
  <c r="C95" i="12"/>
  <c r="B95" i="12"/>
  <c r="Z143" i="6"/>
  <c r="P143" i="6"/>
  <c r="AA143" i="6"/>
  <c r="F94" i="12"/>
  <c r="B137" i="12" s="1"/>
  <c r="D46" i="14"/>
  <c r="F46" i="14"/>
  <c r="E46" i="14"/>
  <c r="B57" i="13"/>
  <c r="C57" i="13" s="1"/>
  <c r="D57" i="13" s="1"/>
  <c r="I64" i="8"/>
  <c r="D64" i="8"/>
  <c r="C64" i="8"/>
  <c r="H64" i="8"/>
  <c r="O64" i="8"/>
  <c r="K63" i="8"/>
  <c r="L63" i="8" s="1"/>
  <c r="J63" i="8"/>
  <c r="Q63" i="8"/>
  <c r="P63" i="8"/>
  <c r="B65" i="8"/>
  <c r="A66" i="8"/>
  <c r="F63" i="8"/>
  <c r="E63" i="8"/>
  <c r="O143" i="6"/>
  <c r="U143" i="6"/>
  <c r="H143" i="6"/>
  <c r="X143" i="6"/>
  <c r="T143" i="6"/>
  <c r="K143" i="6"/>
  <c r="W143" i="6"/>
  <c r="G143" i="6"/>
  <c r="J143" i="6"/>
  <c r="B144" i="6"/>
  <c r="A145" i="6"/>
  <c r="G46" i="14" l="1"/>
  <c r="H46" i="14" s="1"/>
  <c r="I46" i="14" s="1"/>
  <c r="K46" i="14" s="1"/>
  <c r="M46" i="14" s="1"/>
  <c r="P46" i="14" s="1"/>
  <c r="P45" i="14"/>
  <c r="N45" i="14"/>
  <c r="O45" i="14" s="1"/>
  <c r="Z144" i="6"/>
  <c r="AA144" i="6"/>
  <c r="P144" i="6"/>
  <c r="A97" i="12"/>
  <c r="A139" i="12"/>
  <c r="D96" i="12"/>
  <c r="C96" i="12"/>
  <c r="B96" i="12"/>
  <c r="F95" i="12"/>
  <c r="B138" i="12" s="1"/>
  <c r="D47" i="14"/>
  <c r="E47" i="14"/>
  <c r="F47" i="14"/>
  <c r="A49" i="14"/>
  <c r="B48" i="14"/>
  <c r="L48" i="14"/>
  <c r="B58" i="13"/>
  <c r="C58" i="13" s="1"/>
  <c r="D58" i="13" s="1"/>
  <c r="K64" i="8"/>
  <c r="L64" i="8" s="1"/>
  <c r="J64" i="8"/>
  <c r="I65" i="8"/>
  <c r="D65" i="8"/>
  <c r="C65" i="8"/>
  <c r="H65" i="8"/>
  <c r="O65" i="8"/>
  <c r="Q64" i="8"/>
  <c r="P64" i="8"/>
  <c r="B66" i="8"/>
  <c r="A67" i="8"/>
  <c r="F64" i="8"/>
  <c r="E64" i="8"/>
  <c r="O144" i="6"/>
  <c r="J144" i="6"/>
  <c r="U144" i="6"/>
  <c r="H144" i="6"/>
  <c r="G144" i="6"/>
  <c r="W144" i="6"/>
  <c r="X144" i="6"/>
  <c r="T144" i="6"/>
  <c r="K144" i="6"/>
  <c r="B145" i="6"/>
  <c r="A146" i="6"/>
  <c r="N46" i="14" l="1"/>
  <c r="O46" i="14" s="1"/>
  <c r="G47" i="14"/>
  <c r="H47" i="14" s="1"/>
  <c r="I47" i="14" s="1"/>
  <c r="K47" i="14" s="1"/>
  <c r="M47" i="14" s="1"/>
  <c r="Z145" i="6"/>
  <c r="AA145" i="6"/>
  <c r="P145" i="6"/>
  <c r="D48" i="14"/>
  <c r="E48" i="14"/>
  <c r="F48" i="14"/>
  <c r="A50" i="14"/>
  <c r="B49" i="14"/>
  <c r="L49" i="14"/>
  <c r="A98" i="12"/>
  <c r="A140" i="12"/>
  <c r="D97" i="12"/>
  <c r="C97" i="12"/>
  <c r="B97" i="12"/>
  <c r="F96" i="12"/>
  <c r="B139" i="12" s="1"/>
  <c r="B59" i="13"/>
  <c r="C59" i="13" s="1"/>
  <c r="D59" i="13" s="1"/>
  <c r="B67" i="8"/>
  <c r="A68" i="8"/>
  <c r="Q65" i="8"/>
  <c r="P65" i="8"/>
  <c r="I66" i="8"/>
  <c r="D66" i="8"/>
  <c r="C66" i="8"/>
  <c r="H66" i="8"/>
  <c r="O66" i="8"/>
  <c r="K65" i="8"/>
  <c r="L65" i="8" s="1"/>
  <c r="J65" i="8"/>
  <c r="F65" i="8"/>
  <c r="E65" i="8"/>
  <c r="O145" i="6"/>
  <c r="B146" i="6"/>
  <c r="A147" i="6"/>
  <c r="U145" i="6"/>
  <c r="H145" i="6"/>
  <c r="J145" i="6"/>
  <c r="X145" i="6"/>
  <c r="T145" i="6"/>
  <c r="K145" i="6"/>
  <c r="G145" i="6"/>
  <c r="W145" i="6"/>
  <c r="G48" i="14" l="1"/>
  <c r="H48" i="14" s="1"/>
  <c r="I48" i="14" s="1"/>
  <c r="K48" i="14" s="1"/>
  <c r="M48" i="14" s="1"/>
  <c r="P47" i="14"/>
  <c r="N47" i="14"/>
  <c r="O47" i="14" s="1"/>
  <c r="D49" i="14"/>
  <c r="E49" i="14"/>
  <c r="F49" i="14"/>
  <c r="A51" i="14"/>
  <c r="B50" i="14"/>
  <c r="L50" i="14"/>
  <c r="F97" i="12"/>
  <c r="B140" i="12" s="1"/>
  <c r="A99" i="12"/>
  <c r="A141" i="12"/>
  <c r="D98" i="12"/>
  <c r="C98" i="12"/>
  <c r="B98" i="12"/>
  <c r="Z146" i="6"/>
  <c r="P146" i="6"/>
  <c r="AA146" i="6"/>
  <c r="B60" i="13"/>
  <c r="C60" i="13" s="1"/>
  <c r="D60" i="13" s="1"/>
  <c r="K66" i="8"/>
  <c r="L66" i="8" s="1"/>
  <c r="J66" i="8"/>
  <c r="F66" i="8"/>
  <c r="E66" i="8"/>
  <c r="B68" i="8"/>
  <c r="A69" i="8"/>
  <c r="Q66" i="8"/>
  <c r="P66" i="8"/>
  <c r="I67" i="8"/>
  <c r="D67" i="8"/>
  <c r="C67" i="8"/>
  <c r="H67" i="8"/>
  <c r="O67" i="8"/>
  <c r="O146" i="6"/>
  <c r="B147" i="6"/>
  <c r="A148" i="6"/>
  <c r="J146" i="6"/>
  <c r="U146" i="6"/>
  <c r="H146" i="6"/>
  <c r="G146" i="6"/>
  <c r="W146" i="6"/>
  <c r="X146" i="6"/>
  <c r="T146" i="6"/>
  <c r="K146" i="6"/>
  <c r="F98" i="12" l="1"/>
  <c r="B141" i="12" s="1"/>
  <c r="D50" i="14"/>
  <c r="F50" i="14"/>
  <c r="E50" i="14"/>
  <c r="Z147" i="6"/>
  <c r="P147" i="6"/>
  <c r="AA147" i="6"/>
  <c r="A52" i="14"/>
  <c r="B51" i="14"/>
  <c r="L51" i="14"/>
  <c r="A100" i="12"/>
  <c r="A142" i="12"/>
  <c r="D99" i="12"/>
  <c r="C99" i="12"/>
  <c r="B99" i="12"/>
  <c r="P48" i="14"/>
  <c r="N48" i="14"/>
  <c r="O48" i="14" s="1"/>
  <c r="G49" i="14"/>
  <c r="H49" i="14" s="1"/>
  <c r="I49" i="14" s="1"/>
  <c r="K49" i="14" s="1"/>
  <c r="M49" i="14" s="1"/>
  <c r="B61" i="13"/>
  <c r="C61" i="13" s="1"/>
  <c r="D61" i="13" s="1"/>
  <c r="K67" i="8"/>
  <c r="L67" i="8" s="1"/>
  <c r="J67" i="8"/>
  <c r="Q67" i="8"/>
  <c r="P67" i="8"/>
  <c r="I68" i="8"/>
  <c r="D68" i="8"/>
  <c r="C68" i="8"/>
  <c r="H68" i="8"/>
  <c r="O68" i="8"/>
  <c r="F67" i="8"/>
  <c r="E67" i="8"/>
  <c r="B69" i="8"/>
  <c r="A70" i="8"/>
  <c r="O147" i="6"/>
  <c r="B148" i="6"/>
  <c r="A149" i="6"/>
  <c r="U147" i="6"/>
  <c r="H147" i="6"/>
  <c r="W147" i="6"/>
  <c r="X147" i="6"/>
  <c r="J147" i="6"/>
  <c r="T147" i="6"/>
  <c r="K147" i="6"/>
  <c r="G147" i="6"/>
  <c r="P49" i="14" l="1"/>
  <c r="N49" i="14"/>
  <c r="O49" i="14" s="1"/>
  <c r="D51" i="14"/>
  <c r="E51" i="14"/>
  <c r="F51" i="14"/>
  <c r="A53" i="14"/>
  <c r="B52" i="14"/>
  <c r="L52" i="14"/>
  <c r="F99" i="12"/>
  <c r="B142" i="12" s="1"/>
  <c r="Z148" i="6"/>
  <c r="AA148" i="6"/>
  <c r="P148" i="6"/>
  <c r="G50" i="14"/>
  <c r="H50" i="14" s="1"/>
  <c r="I50" i="14" s="1"/>
  <c r="K50" i="14" s="1"/>
  <c r="M50" i="14" s="1"/>
  <c r="P50" i="14" s="1"/>
  <c r="A101" i="12"/>
  <c r="A143" i="12"/>
  <c r="D100" i="12"/>
  <c r="C100" i="12"/>
  <c r="B100" i="12"/>
  <c r="B62" i="13"/>
  <c r="C62" i="13" s="1"/>
  <c r="D62" i="13" s="1"/>
  <c r="B70" i="8"/>
  <c r="A71" i="8"/>
  <c r="Q68" i="8"/>
  <c r="P68" i="8"/>
  <c r="I69" i="8"/>
  <c r="D69" i="8"/>
  <c r="C69" i="8"/>
  <c r="H69" i="8"/>
  <c r="O69" i="8"/>
  <c r="K68" i="8"/>
  <c r="L68" i="8" s="1"/>
  <c r="J68" i="8"/>
  <c r="F68" i="8"/>
  <c r="E68" i="8"/>
  <c r="O148" i="6"/>
  <c r="B149" i="6"/>
  <c r="A150" i="6"/>
  <c r="J148" i="6"/>
  <c r="U148" i="6"/>
  <c r="H148" i="6"/>
  <c r="G148" i="6"/>
  <c r="X148" i="6"/>
  <c r="W148" i="6"/>
  <c r="T148" i="6"/>
  <c r="K148" i="6"/>
  <c r="N50" i="14" l="1"/>
  <c r="O50" i="14" s="1"/>
  <c r="F100" i="12"/>
  <c r="B143" i="12" s="1"/>
  <c r="Z149" i="6"/>
  <c r="AA149" i="6"/>
  <c r="P149" i="6"/>
  <c r="D52" i="14"/>
  <c r="E52" i="14"/>
  <c r="F52" i="14"/>
  <c r="A102" i="12"/>
  <c r="A144" i="12"/>
  <c r="D101" i="12"/>
  <c r="C101" i="12"/>
  <c r="B101" i="12"/>
  <c r="A54" i="14"/>
  <c r="B53" i="14"/>
  <c r="L53" i="14"/>
  <c r="G51" i="14"/>
  <c r="B63" i="13"/>
  <c r="C63" i="13" s="1"/>
  <c r="D63" i="13" s="1"/>
  <c r="K69" i="8"/>
  <c r="L69" i="8" s="1"/>
  <c r="J69" i="8"/>
  <c r="F69" i="8"/>
  <c r="E69" i="8"/>
  <c r="B71" i="8"/>
  <c r="A72" i="8"/>
  <c r="Q69" i="8"/>
  <c r="P69" i="8"/>
  <c r="I70" i="8"/>
  <c r="D70" i="8"/>
  <c r="C70" i="8"/>
  <c r="H70" i="8"/>
  <c r="O70" i="8"/>
  <c r="O149" i="6"/>
  <c r="B150" i="6"/>
  <c r="A151" i="6"/>
  <c r="U149" i="6"/>
  <c r="H149" i="6"/>
  <c r="X149" i="6"/>
  <c r="W149" i="6"/>
  <c r="T149" i="6"/>
  <c r="K149" i="6"/>
  <c r="J149" i="6"/>
  <c r="G149" i="6"/>
  <c r="G52" i="14" l="1"/>
  <c r="H52" i="14" s="1"/>
  <c r="I52" i="14" s="1"/>
  <c r="K52" i="14" s="1"/>
  <c r="M52" i="14" s="1"/>
  <c r="Z150" i="6"/>
  <c r="P150" i="6"/>
  <c r="AA150" i="6"/>
  <c r="H51" i="14"/>
  <c r="I51" i="14" s="1"/>
  <c r="K51" i="14" s="1"/>
  <c r="M51" i="14" s="1"/>
  <c r="A103" i="12"/>
  <c r="A145" i="12"/>
  <c r="D102" i="12"/>
  <c r="C102" i="12"/>
  <c r="B102" i="12"/>
  <c r="A55" i="14"/>
  <c r="B54" i="14"/>
  <c r="L54" i="14"/>
  <c r="D53" i="14"/>
  <c r="F53" i="14"/>
  <c r="E53" i="14"/>
  <c r="F101" i="12"/>
  <c r="B144" i="12" s="1"/>
  <c r="B64" i="13"/>
  <c r="C64" i="13" s="1"/>
  <c r="D64" i="13" s="1"/>
  <c r="B72" i="8"/>
  <c r="A73" i="8"/>
  <c r="Q70" i="8"/>
  <c r="P70" i="8"/>
  <c r="I71" i="8"/>
  <c r="D71" i="8"/>
  <c r="C71" i="8"/>
  <c r="H71" i="8"/>
  <c r="O71" i="8"/>
  <c r="K70" i="8"/>
  <c r="L70" i="8" s="1"/>
  <c r="J70" i="8"/>
  <c r="F70" i="8"/>
  <c r="E70" i="8"/>
  <c r="O150" i="6"/>
  <c r="A152" i="6"/>
  <c r="B151" i="6"/>
  <c r="J150" i="6"/>
  <c r="U150" i="6"/>
  <c r="H150" i="6"/>
  <c r="W150" i="6"/>
  <c r="G150" i="6"/>
  <c r="X150" i="6"/>
  <c r="T150" i="6"/>
  <c r="K150" i="6"/>
  <c r="F102" i="12" l="1"/>
  <c r="B145" i="12" s="1"/>
  <c r="P52" i="14"/>
  <c r="N52" i="14"/>
  <c r="O52" i="14" s="1"/>
  <c r="Z151" i="6"/>
  <c r="P151" i="6"/>
  <c r="AA151" i="6"/>
  <c r="D54" i="14"/>
  <c r="F54" i="14"/>
  <c r="E54" i="14"/>
  <c r="A146" i="12"/>
  <c r="D103" i="12"/>
  <c r="C103" i="12"/>
  <c r="B103" i="12"/>
  <c r="A56" i="14"/>
  <c r="B55" i="14"/>
  <c r="L55" i="14"/>
  <c r="P51" i="14"/>
  <c r="N51" i="14"/>
  <c r="O51" i="14" s="1"/>
  <c r="G53" i="14"/>
  <c r="H53" i="14" s="1"/>
  <c r="I53" i="14" s="1"/>
  <c r="K53" i="14" s="1"/>
  <c r="M53" i="14" s="1"/>
  <c r="P53" i="14" s="1"/>
  <c r="B65" i="13"/>
  <c r="C65" i="13" s="1"/>
  <c r="D65" i="13" s="1"/>
  <c r="K71" i="8"/>
  <c r="L71" i="8" s="1"/>
  <c r="J71" i="8"/>
  <c r="F71" i="8"/>
  <c r="E71" i="8"/>
  <c r="B73" i="8"/>
  <c r="A74" i="8"/>
  <c r="Q71" i="8"/>
  <c r="P71" i="8"/>
  <c r="I72" i="8"/>
  <c r="D72" i="8"/>
  <c r="C72" i="8"/>
  <c r="H72" i="8"/>
  <c r="O72" i="8"/>
  <c r="O151" i="6"/>
  <c r="H151" i="6"/>
  <c r="U151" i="6"/>
  <c r="T151" i="6"/>
  <c r="K151" i="6"/>
  <c r="W151" i="6"/>
  <c r="J151" i="6"/>
  <c r="G151" i="6"/>
  <c r="X151" i="6"/>
  <c r="A153" i="6"/>
  <c r="B152" i="6"/>
  <c r="N53" i="14" l="1"/>
  <c r="O53" i="14" s="1"/>
  <c r="F103" i="12"/>
  <c r="B146" i="12" s="1"/>
  <c r="Z152" i="6"/>
  <c r="P152" i="6"/>
  <c r="AA152" i="6"/>
  <c r="G54" i="14"/>
  <c r="H54" i="14" s="1"/>
  <c r="I54" i="14" s="1"/>
  <c r="K54" i="14" s="1"/>
  <c r="M54" i="14" s="1"/>
  <c r="D55" i="14"/>
  <c r="F55" i="14"/>
  <c r="E55" i="14"/>
  <c r="A57" i="14"/>
  <c r="B56" i="14"/>
  <c r="L56" i="14"/>
  <c r="B66" i="13"/>
  <c r="C66" i="13" s="1"/>
  <c r="D66" i="13" s="1"/>
  <c r="K72" i="8"/>
  <c r="L72" i="8" s="1"/>
  <c r="J72" i="8"/>
  <c r="A75" i="8"/>
  <c r="B74" i="8"/>
  <c r="Q72" i="8"/>
  <c r="P72" i="8"/>
  <c r="I73" i="8"/>
  <c r="D73" i="8"/>
  <c r="C73" i="8"/>
  <c r="H73" i="8"/>
  <c r="O73" i="8"/>
  <c r="F72" i="8"/>
  <c r="E72" i="8"/>
  <c r="O152" i="6"/>
  <c r="A154" i="6"/>
  <c r="B153" i="6"/>
  <c r="H152" i="6"/>
  <c r="U152" i="6"/>
  <c r="G152" i="6"/>
  <c r="T152" i="6"/>
  <c r="X152" i="6"/>
  <c r="J152" i="6"/>
  <c r="K152" i="6"/>
  <c r="W152" i="6"/>
  <c r="G55" i="14" l="1"/>
  <c r="H55" i="14" s="1"/>
  <c r="I55" i="14" s="1"/>
  <c r="K55" i="14" s="1"/>
  <c r="M55" i="14" s="1"/>
  <c r="A58" i="14"/>
  <c r="B57" i="14"/>
  <c r="L57" i="14"/>
  <c r="P54" i="14"/>
  <c r="N54" i="14"/>
  <c r="O54" i="14" s="1"/>
  <c r="Z153" i="6"/>
  <c r="P153" i="6"/>
  <c r="AA153" i="6"/>
  <c r="D56" i="14"/>
  <c r="E56" i="14"/>
  <c r="F56" i="14"/>
  <c r="B67" i="13"/>
  <c r="C67" i="13" s="1"/>
  <c r="D67" i="13" s="1"/>
  <c r="I74" i="8"/>
  <c r="D74" i="8"/>
  <c r="C74" i="8"/>
  <c r="H74" i="8"/>
  <c r="O74" i="8"/>
  <c r="Q73" i="8"/>
  <c r="P73" i="8"/>
  <c r="B75" i="8"/>
  <c r="A76" i="8"/>
  <c r="K73" i="8"/>
  <c r="L73" i="8" s="1"/>
  <c r="J73" i="8"/>
  <c r="F73" i="8"/>
  <c r="E73" i="8"/>
  <c r="O153" i="6"/>
  <c r="H153" i="6"/>
  <c r="U153" i="6"/>
  <c r="W153" i="6"/>
  <c r="G153" i="6"/>
  <c r="K153" i="6"/>
  <c r="T153" i="6"/>
  <c r="J153" i="6"/>
  <c r="X153" i="6"/>
  <c r="A155" i="6"/>
  <c r="B154" i="6"/>
  <c r="P55" i="14" l="1"/>
  <c r="N55" i="14"/>
  <c r="O55" i="14" s="1"/>
  <c r="G56" i="14"/>
  <c r="Z154" i="6"/>
  <c r="P154" i="6"/>
  <c r="AA154" i="6"/>
  <c r="D57" i="14"/>
  <c r="F57" i="14"/>
  <c r="E57" i="14"/>
  <c r="A59" i="14"/>
  <c r="B58" i="14"/>
  <c r="L58" i="14"/>
  <c r="B68" i="13"/>
  <c r="C68" i="13" s="1"/>
  <c r="D68" i="13" s="1"/>
  <c r="I75" i="8"/>
  <c r="D75" i="8"/>
  <c r="C75" i="8"/>
  <c r="H75" i="8"/>
  <c r="O75" i="8"/>
  <c r="K74" i="8"/>
  <c r="L74" i="8" s="1"/>
  <c r="J74" i="8"/>
  <c r="F74" i="8"/>
  <c r="E74" i="8"/>
  <c r="A77" i="8"/>
  <c r="B76" i="8"/>
  <c r="Q74" i="8"/>
  <c r="P74" i="8"/>
  <c r="O154" i="6"/>
  <c r="U154" i="6"/>
  <c r="H154" i="6"/>
  <c r="G154" i="6"/>
  <c r="X154" i="6"/>
  <c r="K154" i="6"/>
  <c r="W154" i="6"/>
  <c r="T154" i="6"/>
  <c r="J154" i="6"/>
  <c r="A156" i="6"/>
  <c r="B155" i="6"/>
  <c r="Z155" i="6" l="1"/>
  <c r="P155" i="6"/>
  <c r="AA155" i="6"/>
  <c r="D58" i="14"/>
  <c r="F58" i="14"/>
  <c r="E58" i="14"/>
  <c r="H56" i="14"/>
  <c r="I56" i="14" s="1"/>
  <c r="K56" i="14" s="1"/>
  <c r="M56" i="14" s="1"/>
  <c r="A60" i="14"/>
  <c r="B59" i="14"/>
  <c r="L59" i="14"/>
  <c r="G57" i="14"/>
  <c r="B69" i="13"/>
  <c r="C69" i="13" s="1"/>
  <c r="D69" i="13" s="1"/>
  <c r="J75" i="8"/>
  <c r="K75" i="8"/>
  <c r="L75" i="8" s="1"/>
  <c r="C76" i="8"/>
  <c r="I76" i="8"/>
  <c r="D76" i="8"/>
  <c r="H76" i="8"/>
  <c r="O76" i="8"/>
  <c r="E75" i="8"/>
  <c r="F75" i="8"/>
  <c r="B77" i="8"/>
  <c r="A78" i="8"/>
  <c r="P75" i="8"/>
  <c r="Q75" i="8"/>
  <c r="O155" i="6"/>
  <c r="W155" i="6"/>
  <c r="H155" i="6"/>
  <c r="U155" i="6"/>
  <c r="T155" i="6"/>
  <c r="K155" i="6"/>
  <c r="J155" i="6"/>
  <c r="G155" i="6"/>
  <c r="X155" i="6"/>
  <c r="A157" i="6"/>
  <c r="B156" i="6"/>
  <c r="P56" i="14" l="1"/>
  <c r="N56" i="14"/>
  <c r="O56" i="14" s="1"/>
  <c r="G58" i="14"/>
  <c r="H58" i="14" s="1"/>
  <c r="I58" i="14" s="1"/>
  <c r="K58" i="14" s="1"/>
  <c r="M58" i="14" s="1"/>
  <c r="H57" i="14"/>
  <c r="I57" i="14" s="1"/>
  <c r="K57" i="14" s="1"/>
  <c r="M57" i="14" s="1"/>
  <c r="Z156" i="6"/>
  <c r="AA156" i="6"/>
  <c r="P156" i="6"/>
  <c r="D59" i="14"/>
  <c r="E59" i="14"/>
  <c r="F59" i="14"/>
  <c r="A61" i="14"/>
  <c r="B60" i="14"/>
  <c r="L60" i="14"/>
  <c r="B70" i="13"/>
  <c r="C70" i="13" s="1"/>
  <c r="D70" i="13" s="1"/>
  <c r="A79" i="8"/>
  <c r="B78" i="8"/>
  <c r="Q76" i="8"/>
  <c r="P76" i="8"/>
  <c r="F76" i="8"/>
  <c r="E76" i="8"/>
  <c r="I77" i="8"/>
  <c r="D77" i="8"/>
  <c r="C77" i="8"/>
  <c r="H77" i="8"/>
  <c r="O77" i="8"/>
  <c r="K76" i="8"/>
  <c r="L76" i="8" s="1"/>
  <c r="J76" i="8"/>
  <c r="O156" i="6"/>
  <c r="U156" i="6"/>
  <c r="W156" i="6"/>
  <c r="H156" i="6"/>
  <c r="T156" i="6"/>
  <c r="K156" i="6"/>
  <c r="J156" i="6"/>
  <c r="X156" i="6"/>
  <c r="G156" i="6"/>
  <c r="A158" i="6"/>
  <c r="B157" i="6"/>
  <c r="P58" i="14" l="1"/>
  <c r="N58" i="14"/>
  <c r="O58" i="14" s="1"/>
  <c r="P57" i="14"/>
  <c r="N57" i="14"/>
  <c r="O57" i="14" s="1"/>
  <c r="D60" i="14"/>
  <c r="E60" i="14"/>
  <c r="F60" i="14"/>
  <c r="A62" i="14"/>
  <c r="B61" i="14"/>
  <c r="L61" i="14"/>
  <c r="G59" i="14"/>
  <c r="H59" i="14" s="1"/>
  <c r="I59" i="14" s="1"/>
  <c r="K59" i="14" s="1"/>
  <c r="M59" i="14" s="1"/>
  <c r="N59" i="14" s="1"/>
  <c r="O59" i="14" s="1"/>
  <c r="Z157" i="6"/>
  <c r="AA157" i="6"/>
  <c r="P157" i="6"/>
  <c r="B71" i="13"/>
  <c r="C71" i="13" s="1"/>
  <c r="D71" i="13" s="1"/>
  <c r="J77" i="8"/>
  <c r="K77" i="8"/>
  <c r="L77" i="8" s="1"/>
  <c r="C78" i="8"/>
  <c r="I78" i="8"/>
  <c r="D78" i="8"/>
  <c r="H78" i="8"/>
  <c r="O78" i="8"/>
  <c r="P77" i="8"/>
  <c r="Q77" i="8"/>
  <c r="E77" i="8"/>
  <c r="F77" i="8"/>
  <c r="B79" i="8"/>
  <c r="A80" i="8"/>
  <c r="O157" i="6"/>
  <c r="U157" i="6"/>
  <c r="H157" i="6"/>
  <c r="W157" i="6"/>
  <c r="X157" i="6"/>
  <c r="J157" i="6"/>
  <c r="K157" i="6"/>
  <c r="T157" i="6"/>
  <c r="G157" i="6"/>
  <c r="A159" i="6"/>
  <c r="B158" i="6"/>
  <c r="P59" i="14" l="1"/>
  <c r="D61" i="14"/>
  <c r="F61" i="14"/>
  <c r="E61" i="14"/>
  <c r="Z158" i="6"/>
  <c r="AA158" i="6"/>
  <c r="P158" i="6"/>
  <c r="A63" i="14"/>
  <c r="B62" i="14"/>
  <c r="L62" i="14"/>
  <c r="G60" i="14"/>
  <c r="H60" i="14" s="1"/>
  <c r="I60" i="14" s="1"/>
  <c r="K60" i="14" s="1"/>
  <c r="M60" i="14" s="1"/>
  <c r="P60" i="14" s="1"/>
  <c r="B72" i="13"/>
  <c r="C72" i="13" s="1"/>
  <c r="D72" i="13" s="1"/>
  <c r="Q78" i="8"/>
  <c r="P78" i="8"/>
  <c r="F78" i="8"/>
  <c r="E78" i="8"/>
  <c r="I79" i="8"/>
  <c r="D79" i="8"/>
  <c r="C79" i="8"/>
  <c r="H79" i="8"/>
  <c r="O79" i="8"/>
  <c r="K78" i="8"/>
  <c r="L78" i="8" s="1"/>
  <c r="J78" i="8"/>
  <c r="A81" i="8"/>
  <c r="B80" i="8"/>
  <c r="O158" i="6"/>
  <c r="U158" i="6"/>
  <c r="W158" i="6"/>
  <c r="H158" i="6"/>
  <c r="T158" i="6"/>
  <c r="G158" i="6"/>
  <c r="X158" i="6"/>
  <c r="J158" i="6"/>
  <c r="K158" i="6"/>
  <c r="A160" i="6"/>
  <c r="B159" i="6"/>
  <c r="N60" i="14" l="1"/>
  <c r="O60" i="14" s="1"/>
  <c r="G61" i="14"/>
  <c r="H61" i="14" s="1"/>
  <c r="I61" i="14" s="1"/>
  <c r="K61" i="14" s="1"/>
  <c r="M61" i="14" s="1"/>
  <c r="D62" i="14"/>
  <c r="F62" i="14"/>
  <c r="E62" i="14"/>
  <c r="A64" i="14"/>
  <c r="B63" i="14"/>
  <c r="L63" i="14"/>
  <c r="Z159" i="6"/>
  <c r="AA159" i="6"/>
  <c r="P159" i="6"/>
  <c r="B73" i="13"/>
  <c r="C73" i="13" s="1"/>
  <c r="D73" i="13" s="1"/>
  <c r="A82" i="8"/>
  <c r="B81" i="8"/>
  <c r="E79" i="8"/>
  <c r="F79" i="8"/>
  <c r="J79" i="8"/>
  <c r="K79" i="8"/>
  <c r="L79" i="8" s="1"/>
  <c r="C80" i="8"/>
  <c r="I80" i="8"/>
  <c r="D80" i="8"/>
  <c r="H80" i="8"/>
  <c r="O80" i="8"/>
  <c r="P79" i="8"/>
  <c r="Q79" i="8"/>
  <c r="O159" i="6"/>
  <c r="W159" i="6"/>
  <c r="U159" i="6"/>
  <c r="H159" i="6"/>
  <c r="J159" i="6"/>
  <c r="X159" i="6"/>
  <c r="K159" i="6"/>
  <c r="T159" i="6"/>
  <c r="G159" i="6"/>
  <c r="A161" i="6"/>
  <c r="B160" i="6"/>
  <c r="G62" i="14" l="1"/>
  <c r="H62" i="14" s="1"/>
  <c r="I62" i="14" s="1"/>
  <c r="K62" i="14" s="1"/>
  <c r="M62" i="14" s="1"/>
  <c r="P62" i="14" s="1"/>
  <c r="P61" i="14"/>
  <c r="N61" i="14"/>
  <c r="O61" i="14" s="1"/>
  <c r="D63" i="14"/>
  <c r="E63" i="14"/>
  <c r="F63" i="14"/>
  <c r="A65" i="14"/>
  <c r="B64" i="14"/>
  <c r="L64" i="14"/>
  <c r="Z160" i="6"/>
  <c r="P160" i="6"/>
  <c r="AA160" i="6"/>
  <c r="B74" i="13"/>
  <c r="C74" i="13" s="1"/>
  <c r="D74" i="13" s="1"/>
  <c r="Q80" i="8"/>
  <c r="P80" i="8"/>
  <c r="F80" i="8"/>
  <c r="E80" i="8"/>
  <c r="K80" i="8"/>
  <c r="L80" i="8" s="1"/>
  <c r="J80" i="8"/>
  <c r="I81" i="8"/>
  <c r="D81" i="8"/>
  <c r="C81" i="8"/>
  <c r="H81" i="8"/>
  <c r="O81" i="8"/>
  <c r="A83" i="8"/>
  <c r="B82" i="8"/>
  <c r="O160" i="6"/>
  <c r="A162" i="6"/>
  <c r="B161" i="6"/>
  <c r="U160" i="6"/>
  <c r="H160" i="6"/>
  <c r="T160" i="6"/>
  <c r="W160" i="6"/>
  <c r="G160" i="6"/>
  <c r="J160" i="6"/>
  <c r="X160" i="6"/>
  <c r="K160" i="6"/>
  <c r="N62" i="14" l="1"/>
  <c r="O62" i="14" s="1"/>
  <c r="D64" i="14"/>
  <c r="F64" i="14"/>
  <c r="E64" i="14"/>
  <c r="A66" i="14"/>
  <c r="B65" i="14"/>
  <c r="L65" i="14"/>
  <c r="Z161" i="6"/>
  <c r="P161" i="6"/>
  <c r="AA161" i="6"/>
  <c r="G63" i="14"/>
  <c r="H63" i="14" s="1"/>
  <c r="I63" i="14" s="1"/>
  <c r="K63" i="14" s="1"/>
  <c r="M63" i="14" s="1"/>
  <c r="B75" i="13"/>
  <c r="C75" i="13" s="1"/>
  <c r="D75" i="13" s="1"/>
  <c r="A84" i="8"/>
  <c r="B83" i="8"/>
  <c r="C82" i="8"/>
  <c r="I82" i="8"/>
  <c r="D82" i="8"/>
  <c r="H82" i="8"/>
  <c r="O82" i="8"/>
  <c r="P81" i="8"/>
  <c r="Q81" i="8"/>
  <c r="J81" i="8"/>
  <c r="K81" i="8"/>
  <c r="L81" i="8" s="1"/>
  <c r="E81" i="8"/>
  <c r="F81" i="8"/>
  <c r="O161" i="6"/>
  <c r="W161" i="6"/>
  <c r="U161" i="6"/>
  <c r="H161" i="6"/>
  <c r="J161" i="6"/>
  <c r="X161" i="6"/>
  <c r="K161" i="6"/>
  <c r="T161" i="6"/>
  <c r="G161" i="6"/>
  <c r="A163" i="6"/>
  <c r="B162" i="6"/>
  <c r="G64" i="14" l="1"/>
  <c r="H64" i="14" s="1"/>
  <c r="I64" i="14" s="1"/>
  <c r="K64" i="14" s="1"/>
  <c r="M64" i="14" s="1"/>
  <c r="D65" i="14"/>
  <c r="F65" i="14"/>
  <c r="E65" i="14"/>
  <c r="Z162" i="6"/>
  <c r="P162" i="6"/>
  <c r="AA162" i="6"/>
  <c r="A67" i="14"/>
  <c r="B66" i="14"/>
  <c r="L66" i="14"/>
  <c r="P63" i="14"/>
  <c r="N63" i="14"/>
  <c r="O63" i="14" s="1"/>
  <c r="A77" i="13"/>
  <c r="B76" i="13"/>
  <c r="C76" i="13" s="1"/>
  <c r="D76" i="13" s="1"/>
  <c r="Q82" i="8"/>
  <c r="P82" i="8"/>
  <c r="F82" i="8"/>
  <c r="E82" i="8"/>
  <c r="K82" i="8"/>
  <c r="L82" i="8" s="1"/>
  <c r="J82" i="8"/>
  <c r="I83" i="8"/>
  <c r="D83" i="8"/>
  <c r="C83" i="8"/>
  <c r="H83" i="8"/>
  <c r="O83" i="8"/>
  <c r="A85" i="8"/>
  <c r="B84" i="8"/>
  <c r="O162" i="6"/>
  <c r="U162" i="6"/>
  <c r="H162" i="6"/>
  <c r="T162" i="6"/>
  <c r="G162" i="6"/>
  <c r="W162" i="6"/>
  <c r="X162" i="6"/>
  <c r="J162" i="6"/>
  <c r="K162" i="6"/>
  <c r="A164" i="6"/>
  <c r="B163" i="6"/>
  <c r="G65" i="14" l="1"/>
  <c r="H65" i="14" s="1"/>
  <c r="I65" i="14" s="1"/>
  <c r="K65" i="14" s="1"/>
  <c r="M65" i="14" s="1"/>
  <c r="P64" i="14"/>
  <c r="N64" i="14"/>
  <c r="O64" i="14" s="1"/>
  <c r="D66" i="14"/>
  <c r="F66" i="14"/>
  <c r="E66" i="14"/>
  <c r="Z163" i="6"/>
  <c r="P163" i="6"/>
  <c r="AA163" i="6"/>
  <c r="A68" i="14"/>
  <c r="B67" i="14"/>
  <c r="L67" i="14"/>
  <c r="A78" i="13"/>
  <c r="B77" i="13"/>
  <c r="C77" i="13" s="1"/>
  <c r="D77" i="13" s="1"/>
  <c r="A86" i="8"/>
  <c r="B85" i="8"/>
  <c r="P83" i="8"/>
  <c r="Q83" i="8"/>
  <c r="J83" i="8"/>
  <c r="K83" i="8"/>
  <c r="L83" i="8" s="1"/>
  <c r="C84" i="8"/>
  <c r="I84" i="8"/>
  <c r="D84" i="8"/>
  <c r="H84" i="8"/>
  <c r="O84" i="8"/>
  <c r="E83" i="8"/>
  <c r="F83" i="8"/>
  <c r="O163" i="6"/>
  <c r="A165" i="6"/>
  <c r="B164" i="6"/>
  <c r="W163" i="6"/>
  <c r="U163" i="6"/>
  <c r="H163" i="6"/>
  <c r="X163" i="6"/>
  <c r="J163" i="6"/>
  <c r="K163" i="6"/>
  <c r="T163" i="6"/>
  <c r="G163" i="6"/>
  <c r="N65" i="14" l="1"/>
  <c r="O65" i="14" s="1"/>
  <c r="P65" i="14"/>
  <c r="G66" i="14"/>
  <c r="H66" i="14" s="1"/>
  <c r="I66" i="14" s="1"/>
  <c r="K66" i="14" s="1"/>
  <c r="M66" i="14" s="1"/>
  <c r="Z164" i="6"/>
  <c r="P164" i="6"/>
  <c r="AA164" i="6"/>
  <c r="D67" i="14"/>
  <c r="F67" i="14"/>
  <c r="E67" i="14"/>
  <c r="A69" i="14"/>
  <c r="B68" i="14"/>
  <c r="L68" i="14"/>
  <c r="A79" i="13"/>
  <c r="B78" i="13"/>
  <c r="C78" i="13" s="1"/>
  <c r="D78" i="13" s="1"/>
  <c r="F84" i="8"/>
  <c r="E84" i="8"/>
  <c r="Q84" i="8"/>
  <c r="P84" i="8"/>
  <c r="K84" i="8"/>
  <c r="L84" i="8" s="1"/>
  <c r="J84" i="8"/>
  <c r="I85" i="8"/>
  <c r="D85" i="8"/>
  <c r="C85" i="8"/>
  <c r="H85" i="8"/>
  <c r="O85" i="8"/>
  <c r="A87" i="8"/>
  <c r="B86" i="8"/>
  <c r="O164" i="6"/>
  <c r="U164" i="6"/>
  <c r="H164" i="6"/>
  <c r="J164" i="6"/>
  <c r="T164" i="6"/>
  <c r="G164" i="6"/>
  <c r="X164" i="6"/>
  <c r="W164" i="6"/>
  <c r="K164" i="6"/>
  <c r="A166" i="6"/>
  <c r="B165" i="6"/>
  <c r="N66" i="14" l="1"/>
  <c r="O66" i="14" s="1"/>
  <c r="P66" i="14"/>
  <c r="G67" i="14"/>
  <c r="Z165" i="6"/>
  <c r="P165" i="6"/>
  <c r="AA165" i="6"/>
  <c r="D68" i="14"/>
  <c r="F68" i="14"/>
  <c r="E68" i="14"/>
  <c r="A70" i="14"/>
  <c r="B69" i="14"/>
  <c r="L69" i="14"/>
  <c r="B79" i="13"/>
  <c r="C79" i="13" s="1"/>
  <c r="D79" i="13" s="1"/>
  <c r="A80" i="13"/>
  <c r="B87" i="8"/>
  <c r="A88" i="8"/>
  <c r="J85" i="8"/>
  <c r="K85" i="8"/>
  <c r="L85" i="8" s="1"/>
  <c r="E85" i="8"/>
  <c r="F85" i="8"/>
  <c r="P85" i="8"/>
  <c r="Q85" i="8"/>
  <c r="I86" i="8"/>
  <c r="C86" i="8"/>
  <c r="D86" i="8"/>
  <c r="H86" i="8"/>
  <c r="O86" i="8"/>
  <c r="O165" i="6"/>
  <c r="A167" i="6"/>
  <c r="B166" i="6"/>
  <c r="W165" i="6"/>
  <c r="U165" i="6"/>
  <c r="H165" i="6"/>
  <c r="X165" i="6"/>
  <c r="K165" i="6"/>
  <c r="J165" i="6"/>
  <c r="T165" i="6"/>
  <c r="G165" i="6"/>
  <c r="G68" i="14" l="1"/>
  <c r="H68" i="14" s="1"/>
  <c r="I68" i="14" s="1"/>
  <c r="K68" i="14" s="1"/>
  <c r="M68" i="14" s="1"/>
  <c r="Z166" i="6"/>
  <c r="AA166" i="6"/>
  <c r="P166" i="6"/>
  <c r="D69" i="14"/>
  <c r="F69" i="14"/>
  <c r="E69" i="14"/>
  <c r="A71" i="14"/>
  <c r="B70" i="14"/>
  <c r="L70" i="14"/>
  <c r="H67" i="14"/>
  <c r="I67" i="14" s="1"/>
  <c r="K67" i="14" s="1"/>
  <c r="M67" i="14" s="1"/>
  <c r="A81" i="13"/>
  <c r="B80" i="13"/>
  <c r="C80" i="13" s="1"/>
  <c r="D80" i="13" s="1"/>
  <c r="K86" i="8"/>
  <c r="L86" i="8" s="1"/>
  <c r="J86" i="8"/>
  <c r="F86" i="8"/>
  <c r="E86" i="8"/>
  <c r="B88" i="8"/>
  <c r="A89" i="8"/>
  <c r="Q86" i="8"/>
  <c r="P86" i="8"/>
  <c r="I87" i="8"/>
  <c r="D87" i="8"/>
  <c r="C87" i="8"/>
  <c r="H87" i="8"/>
  <c r="O87" i="8"/>
  <c r="O166" i="6"/>
  <c r="U166" i="6"/>
  <c r="H166" i="6"/>
  <c r="W166" i="6"/>
  <c r="T166" i="6"/>
  <c r="J166" i="6"/>
  <c r="G166" i="6"/>
  <c r="X166" i="6"/>
  <c r="K166" i="6"/>
  <c r="A168" i="6"/>
  <c r="B167" i="6"/>
  <c r="P68" i="14" l="1"/>
  <c r="N68" i="14"/>
  <c r="O68" i="14" s="1"/>
  <c r="G69" i="14"/>
  <c r="H69" i="14" s="1"/>
  <c r="I69" i="14" s="1"/>
  <c r="K69" i="14" s="1"/>
  <c r="M69" i="14" s="1"/>
  <c r="P67" i="14"/>
  <c r="N67" i="14"/>
  <c r="O67" i="14" s="1"/>
  <c r="Z167" i="6"/>
  <c r="AA167" i="6"/>
  <c r="P167" i="6"/>
  <c r="D70" i="14"/>
  <c r="F70" i="14"/>
  <c r="E70" i="14"/>
  <c r="A72" i="14"/>
  <c r="B71" i="14"/>
  <c r="L71" i="14"/>
  <c r="A82" i="13"/>
  <c r="B81" i="13"/>
  <c r="C81" i="13" s="1"/>
  <c r="D81" i="13" s="1"/>
  <c r="K87" i="8"/>
  <c r="L87" i="8" s="1"/>
  <c r="J87" i="8"/>
  <c r="Q87" i="8"/>
  <c r="P87" i="8"/>
  <c r="I88" i="8"/>
  <c r="D88" i="8"/>
  <c r="C88" i="8"/>
  <c r="H88" i="8"/>
  <c r="O88" i="8"/>
  <c r="F87" i="8"/>
  <c r="E87" i="8"/>
  <c r="B89" i="8"/>
  <c r="A90" i="8"/>
  <c r="O167" i="6"/>
  <c r="W167" i="6"/>
  <c r="U167" i="6"/>
  <c r="H167" i="6"/>
  <c r="X167" i="6"/>
  <c r="K167" i="6"/>
  <c r="T167" i="6"/>
  <c r="J167" i="6"/>
  <c r="G167" i="6"/>
  <c r="A169" i="6"/>
  <c r="B168" i="6"/>
  <c r="N69" i="14" l="1"/>
  <c r="O69" i="14" s="1"/>
  <c r="P69" i="14"/>
  <c r="G70" i="14"/>
  <c r="H70" i="14" s="1"/>
  <c r="I70" i="14" s="1"/>
  <c r="K70" i="14" s="1"/>
  <c r="M70" i="14" s="1"/>
  <c r="Z168" i="6"/>
  <c r="AA168" i="6"/>
  <c r="P168" i="6"/>
  <c r="D71" i="14"/>
  <c r="F71" i="14"/>
  <c r="E71" i="14"/>
  <c r="A73" i="14"/>
  <c r="B72" i="14"/>
  <c r="L72" i="14"/>
  <c r="A83" i="13"/>
  <c r="B82" i="13"/>
  <c r="C82" i="13" s="1"/>
  <c r="D82" i="13" s="1"/>
  <c r="I89" i="8"/>
  <c r="D89" i="8"/>
  <c r="C89" i="8"/>
  <c r="H89" i="8"/>
  <c r="O89" i="8"/>
  <c r="K88" i="8"/>
  <c r="L88" i="8" s="1"/>
  <c r="J88" i="8"/>
  <c r="B90" i="8"/>
  <c r="A91" i="8"/>
  <c r="Q88" i="8"/>
  <c r="P88" i="8"/>
  <c r="F88" i="8"/>
  <c r="E88" i="8"/>
  <c r="O168" i="6"/>
  <c r="A170" i="6"/>
  <c r="B169" i="6"/>
  <c r="U168" i="6"/>
  <c r="H168" i="6"/>
  <c r="T168" i="6"/>
  <c r="W168" i="6"/>
  <c r="G168" i="6"/>
  <c r="J168" i="6"/>
  <c r="X168" i="6"/>
  <c r="K168" i="6"/>
  <c r="N70" i="14" l="1"/>
  <c r="O70" i="14" s="1"/>
  <c r="P70" i="14"/>
  <c r="G71" i="14"/>
  <c r="H71" i="14" s="1"/>
  <c r="I71" i="14" s="1"/>
  <c r="K71" i="14" s="1"/>
  <c r="M71" i="14" s="1"/>
  <c r="D72" i="14"/>
  <c r="E72" i="14"/>
  <c r="F72" i="14"/>
  <c r="A74" i="14"/>
  <c r="B73" i="14"/>
  <c r="L73" i="14"/>
  <c r="Z169" i="6"/>
  <c r="AA169" i="6"/>
  <c r="P169" i="6"/>
  <c r="A84" i="13"/>
  <c r="B83" i="13"/>
  <c r="C83" i="13" s="1"/>
  <c r="D83" i="13" s="1"/>
  <c r="Q89" i="8"/>
  <c r="P89" i="8"/>
  <c r="I90" i="8"/>
  <c r="D90" i="8"/>
  <c r="C90" i="8"/>
  <c r="H90" i="8"/>
  <c r="O90" i="8"/>
  <c r="K89" i="8"/>
  <c r="L89" i="8" s="1"/>
  <c r="J89" i="8"/>
  <c r="F89" i="8"/>
  <c r="E89" i="8"/>
  <c r="B91" i="8"/>
  <c r="A92" i="8"/>
  <c r="O169" i="6"/>
  <c r="W169" i="6"/>
  <c r="U169" i="6"/>
  <c r="H169" i="6"/>
  <c r="J169" i="6"/>
  <c r="X169" i="6"/>
  <c r="K169" i="6"/>
  <c r="T169" i="6"/>
  <c r="G169" i="6"/>
  <c r="A171" i="6"/>
  <c r="B170" i="6"/>
  <c r="G72" i="14" l="1"/>
  <c r="H72" i="14" s="1"/>
  <c r="I72" i="14" s="1"/>
  <c r="K72" i="14" s="1"/>
  <c r="M72" i="14" s="1"/>
  <c r="N72" i="14" s="1"/>
  <c r="O72" i="14" s="1"/>
  <c r="P71" i="14"/>
  <c r="N71" i="14"/>
  <c r="O71" i="14" s="1"/>
  <c r="D73" i="14"/>
  <c r="F73" i="14"/>
  <c r="E73" i="14"/>
  <c r="A75" i="14"/>
  <c r="B74" i="14"/>
  <c r="L74" i="14"/>
  <c r="Z170" i="6"/>
  <c r="AA170" i="6"/>
  <c r="P170" i="6"/>
  <c r="A85" i="13"/>
  <c r="B84" i="13"/>
  <c r="C84" i="13" s="1"/>
  <c r="D84" i="13" s="1"/>
  <c r="Q90" i="8"/>
  <c r="P90" i="8"/>
  <c r="K90" i="8"/>
  <c r="L90" i="8" s="1"/>
  <c r="J90" i="8"/>
  <c r="I91" i="8"/>
  <c r="D91" i="8"/>
  <c r="C91" i="8"/>
  <c r="H91" i="8"/>
  <c r="O91" i="8"/>
  <c r="B92" i="8"/>
  <c r="A93" i="8"/>
  <c r="F90" i="8"/>
  <c r="E90" i="8"/>
  <c r="O170" i="6"/>
  <c r="A172" i="6"/>
  <c r="B171" i="6"/>
  <c r="U170" i="6"/>
  <c r="H170" i="6"/>
  <c r="T170" i="6"/>
  <c r="G170" i="6"/>
  <c r="W170" i="6"/>
  <c r="X170" i="6"/>
  <c r="J170" i="6"/>
  <c r="K170" i="6"/>
  <c r="P72" i="14" l="1"/>
  <c r="G73" i="14"/>
  <c r="H73" i="14" s="1"/>
  <c r="I73" i="14" s="1"/>
  <c r="K73" i="14" s="1"/>
  <c r="M73" i="14" s="1"/>
  <c r="D74" i="14"/>
  <c r="F74" i="14"/>
  <c r="E74" i="14"/>
  <c r="A76" i="14"/>
  <c r="B75" i="14"/>
  <c r="L75" i="14"/>
  <c r="Z171" i="6"/>
  <c r="AA171" i="6"/>
  <c r="P171" i="6"/>
  <c r="A86" i="13"/>
  <c r="B85" i="13"/>
  <c r="C85" i="13" s="1"/>
  <c r="D85" i="13" s="1"/>
  <c r="K91" i="8"/>
  <c r="L91" i="8" s="1"/>
  <c r="J91" i="8"/>
  <c r="A94" i="8"/>
  <c r="B93" i="8"/>
  <c r="F91" i="8"/>
  <c r="E91" i="8"/>
  <c r="I92" i="8"/>
  <c r="D92" i="8"/>
  <c r="C92" i="8"/>
  <c r="H92" i="8"/>
  <c r="O92" i="8"/>
  <c r="Q91" i="8"/>
  <c r="P91" i="8"/>
  <c r="O171" i="6"/>
  <c r="W171" i="6"/>
  <c r="U171" i="6"/>
  <c r="H171" i="6"/>
  <c r="X171" i="6"/>
  <c r="J171" i="6"/>
  <c r="K171" i="6"/>
  <c r="T171" i="6"/>
  <c r="G171" i="6"/>
  <c r="A173" i="6"/>
  <c r="B172" i="6"/>
  <c r="G74" i="14" l="1"/>
  <c r="H74" i="14" s="1"/>
  <c r="I74" i="14" s="1"/>
  <c r="K74" i="14" s="1"/>
  <c r="M74" i="14" s="1"/>
  <c r="P74" i="14" s="1"/>
  <c r="P73" i="14"/>
  <c r="N73" i="14"/>
  <c r="O73" i="14" s="1"/>
  <c r="D75" i="14"/>
  <c r="F75" i="14"/>
  <c r="E75" i="14"/>
  <c r="A77" i="14"/>
  <c r="B76" i="14"/>
  <c r="L76" i="14"/>
  <c r="Z172" i="6"/>
  <c r="AA172" i="6"/>
  <c r="P172" i="6"/>
  <c r="A87" i="13"/>
  <c r="B86" i="13"/>
  <c r="C86" i="13" s="1"/>
  <c r="D86" i="13" s="1"/>
  <c r="C93" i="8"/>
  <c r="I93" i="8"/>
  <c r="D93" i="8"/>
  <c r="H93" i="8"/>
  <c r="O93" i="8"/>
  <c r="P92" i="8"/>
  <c r="Q92" i="8"/>
  <c r="A95" i="8"/>
  <c r="B94" i="8"/>
  <c r="J92" i="8"/>
  <c r="K92" i="8"/>
  <c r="L92" i="8" s="1"/>
  <c r="F92" i="8"/>
  <c r="E92" i="8"/>
  <c r="O172" i="6"/>
  <c r="U172" i="6"/>
  <c r="H172" i="6"/>
  <c r="J172" i="6"/>
  <c r="T172" i="6"/>
  <c r="G172" i="6"/>
  <c r="W172" i="6"/>
  <c r="K172" i="6"/>
  <c r="X172" i="6"/>
  <c r="B173" i="6"/>
  <c r="A174" i="6"/>
  <c r="G75" i="14" l="1"/>
  <c r="H75" i="14" s="1"/>
  <c r="I75" i="14" s="1"/>
  <c r="K75" i="14" s="1"/>
  <c r="M75" i="14" s="1"/>
  <c r="N74" i="14"/>
  <c r="O74" i="14" s="1"/>
  <c r="Z173" i="6"/>
  <c r="AA173" i="6"/>
  <c r="P173" i="6"/>
  <c r="A78" i="14"/>
  <c r="B77" i="14"/>
  <c r="L77" i="14"/>
  <c r="D76" i="14"/>
  <c r="E76" i="14"/>
  <c r="F76" i="14"/>
  <c r="B87" i="13"/>
  <c r="C87" i="13" s="1"/>
  <c r="D87" i="13" s="1"/>
  <c r="A88" i="13"/>
  <c r="A96" i="8"/>
  <c r="B95" i="8"/>
  <c r="K93" i="8"/>
  <c r="L93" i="8" s="1"/>
  <c r="J93" i="8"/>
  <c r="D94" i="8"/>
  <c r="C94" i="8"/>
  <c r="I94" i="8"/>
  <c r="H94" i="8"/>
  <c r="O94" i="8"/>
  <c r="P93" i="8"/>
  <c r="Q93" i="8"/>
  <c r="E93" i="8"/>
  <c r="F93" i="8"/>
  <c r="O173" i="6"/>
  <c r="B174" i="6"/>
  <c r="A175" i="6"/>
  <c r="W173" i="6"/>
  <c r="U173" i="6"/>
  <c r="H173" i="6"/>
  <c r="J173" i="6"/>
  <c r="T173" i="6"/>
  <c r="X173" i="6"/>
  <c r="K173" i="6"/>
  <c r="G173" i="6"/>
  <c r="N75" i="14" l="1"/>
  <c r="O75" i="14" s="1"/>
  <c r="P75" i="14"/>
  <c r="G76" i="14"/>
  <c r="H76" i="14" s="1"/>
  <c r="D77" i="14"/>
  <c r="F77" i="14"/>
  <c r="E77" i="14"/>
  <c r="A79" i="14"/>
  <c r="B78" i="14"/>
  <c r="L78" i="14"/>
  <c r="Z174" i="6"/>
  <c r="P174" i="6"/>
  <c r="AA174" i="6"/>
  <c r="A89" i="13"/>
  <c r="B88" i="13"/>
  <c r="C88" i="13" s="1"/>
  <c r="D88" i="13" s="1"/>
  <c r="J94" i="8"/>
  <c r="K94" i="8"/>
  <c r="L94" i="8" s="1"/>
  <c r="E94" i="8"/>
  <c r="F94" i="8"/>
  <c r="C95" i="8"/>
  <c r="D95" i="8"/>
  <c r="I95" i="8"/>
  <c r="H95" i="8"/>
  <c r="O95" i="8"/>
  <c r="P94" i="8"/>
  <c r="Q94" i="8"/>
  <c r="A97" i="8"/>
  <c r="B96" i="8"/>
  <c r="O174" i="6"/>
  <c r="B175" i="6"/>
  <c r="A176" i="6"/>
  <c r="U174" i="6"/>
  <c r="H174" i="6"/>
  <c r="W174" i="6"/>
  <c r="T174" i="6"/>
  <c r="J174" i="6"/>
  <c r="G174" i="6"/>
  <c r="K174" i="6"/>
  <c r="X174" i="6"/>
  <c r="I76" i="14" l="1"/>
  <c r="K76" i="14" s="1"/>
  <c r="M76" i="14" s="1"/>
  <c r="N76" i="14" s="1"/>
  <c r="O76" i="14" s="1"/>
  <c r="G77" i="14"/>
  <c r="H77" i="14" s="1"/>
  <c r="I77" i="14" s="1"/>
  <c r="K77" i="14" s="1"/>
  <c r="M77" i="14" s="1"/>
  <c r="D78" i="14"/>
  <c r="F78" i="14"/>
  <c r="E78" i="14"/>
  <c r="A80" i="14"/>
  <c r="B79" i="14"/>
  <c r="L79" i="14"/>
  <c r="Z175" i="6"/>
  <c r="AA175" i="6"/>
  <c r="P175" i="6"/>
  <c r="A90" i="13"/>
  <c r="B89" i="13"/>
  <c r="C89" i="13" s="1"/>
  <c r="D89" i="13" s="1"/>
  <c r="Q95" i="8"/>
  <c r="P95" i="8"/>
  <c r="A98" i="8"/>
  <c r="B97" i="8"/>
  <c r="J95" i="8"/>
  <c r="K95" i="8"/>
  <c r="L95" i="8" s="1"/>
  <c r="I96" i="8"/>
  <c r="C96" i="8"/>
  <c r="D96" i="8"/>
  <c r="H96" i="8"/>
  <c r="O96" i="8"/>
  <c r="F95" i="8"/>
  <c r="E95" i="8"/>
  <c r="O175" i="6"/>
  <c r="B176" i="6"/>
  <c r="A177" i="6"/>
  <c r="W175" i="6"/>
  <c r="U175" i="6"/>
  <c r="H175" i="6"/>
  <c r="X175" i="6"/>
  <c r="K175" i="6"/>
  <c r="T175" i="6"/>
  <c r="J175" i="6"/>
  <c r="G175" i="6"/>
  <c r="P76" i="14" l="1"/>
  <c r="G78" i="14"/>
  <c r="H78" i="14" s="1"/>
  <c r="I78" i="14" s="1"/>
  <c r="K78" i="14" s="1"/>
  <c r="M78" i="14" s="1"/>
  <c r="N77" i="14"/>
  <c r="O77" i="14" s="1"/>
  <c r="P77" i="14"/>
  <c r="Z176" i="6"/>
  <c r="AA176" i="6"/>
  <c r="P176" i="6"/>
  <c r="D79" i="14"/>
  <c r="E79" i="14"/>
  <c r="F79" i="14"/>
  <c r="A81" i="14"/>
  <c r="B80" i="14"/>
  <c r="L80" i="14"/>
  <c r="A91" i="13"/>
  <c r="B90" i="13"/>
  <c r="C90" i="13" s="1"/>
  <c r="D90" i="13" s="1"/>
  <c r="E96" i="8"/>
  <c r="F96" i="8"/>
  <c r="C97" i="8"/>
  <c r="I97" i="8"/>
  <c r="D97" i="8"/>
  <c r="H97" i="8"/>
  <c r="O97" i="8"/>
  <c r="J96" i="8"/>
  <c r="K96" i="8"/>
  <c r="L96" i="8" s="1"/>
  <c r="P96" i="8"/>
  <c r="Q96" i="8"/>
  <c r="B98" i="8"/>
  <c r="A99" i="8"/>
  <c r="O176" i="6"/>
  <c r="B177" i="6"/>
  <c r="A178" i="6"/>
  <c r="H176" i="6"/>
  <c r="U176" i="6"/>
  <c r="W176" i="6"/>
  <c r="G176" i="6"/>
  <c r="J176" i="6"/>
  <c r="T176" i="6"/>
  <c r="K176" i="6"/>
  <c r="X176" i="6"/>
  <c r="G79" i="14" l="1"/>
  <c r="H79" i="14" s="1"/>
  <c r="I79" i="14" s="1"/>
  <c r="K79" i="14" s="1"/>
  <c r="M79" i="14" s="1"/>
  <c r="N79" i="14" s="1"/>
  <c r="O79" i="14" s="1"/>
  <c r="Z177" i="6"/>
  <c r="AA177" i="6"/>
  <c r="P177" i="6"/>
  <c r="N78" i="14"/>
  <c r="O78" i="14" s="1"/>
  <c r="P78" i="14"/>
  <c r="D80" i="14"/>
  <c r="F80" i="14"/>
  <c r="E80" i="14"/>
  <c r="A82" i="14"/>
  <c r="B81" i="14"/>
  <c r="L81" i="14"/>
  <c r="A92" i="13"/>
  <c r="B91" i="13"/>
  <c r="C91" i="13" s="1"/>
  <c r="D91" i="13" s="1"/>
  <c r="A100" i="8"/>
  <c r="B99" i="8"/>
  <c r="D98" i="8"/>
  <c r="C98" i="8"/>
  <c r="I98" i="8"/>
  <c r="H98" i="8"/>
  <c r="O98" i="8"/>
  <c r="P97" i="8"/>
  <c r="Q97" i="8"/>
  <c r="E97" i="8"/>
  <c r="F97" i="8"/>
  <c r="K97" i="8"/>
  <c r="L97" i="8" s="1"/>
  <c r="J97" i="8"/>
  <c r="O177" i="6"/>
  <c r="B178" i="6"/>
  <c r="A179" i="6"/>
  <c r="W177" i="6"/>
  <c r="U177" i="6"/>
  <c r="H177" i="6"/>
  <c r="J177" i="6"/>
  <c r="T177" i="6"/>
  <c r="G177" i="6"/>
  <c r="X177" i="6"/>
  <c r="K177" i="6"/>
  <c r="P79" i="14" l="1"/>
  <c r="D81" i="14"/>
  <c r="F81" i="14"/>
  <c r="E81" i="14"/>
  <c r="A83" i="14"/>
  <c r="B82" i="14"/>
  <c r="L82" i="14"/>
  <c r="G80" i="14"/>
  <c r="Z178" i="6"/>
  <c r="P178" i="6"/>
  <c r="AA178" i="6"/>
  <c r="A93" i="13"/>
  <c r="B92" i="13"/>
  <c r="C92" i="13" s="1"/>
  <c r="D92" i="13" s="1"/>
  <c r="E98" i="8"/>
  <c r="F98" i="8"/>
  <c r="P98" i="8"/>
  <c r="Q98" i="8"/>
  <c r="J98" i="8"/>
  <c r="K98" i="8"/>
  <c r="L98" i="8" s="1"/>
  <c r="C99" i="8"/>
  <c r="D99" i="8"/>
  <c r="I99" i="8"/>
  <c r="H99" i="8"/>
  <c r="O99" i="8"/>
  <c r="A101" i="8"/>
  <c r="B100" i="8"/>
  <c r="O178" i="6"/>
  <c r="B179" i="6"/>
  <c r="A180" i="6"/>
  <c r="U178" i="6"/>
  <c r="H178" i="6"/>
  <c r="K178" i="6"/>
  <c r="W178" i="6"/>
  <c r="T178" i="6"/>
  <c r="J178" i="6"/>
  <c r="G178" i="6"/>
  <c r="X178" i="6"/>
  <c r="G81" i="14" l="1"/>
  <c r="H81" i="14" s="1"/>
  <c r="I81" i="14" s="1"/>
  <c r="K81" i="14" s="1"/>
  <c r="M81" i="14" s="1"/>
  <c r="N81" i="14" s="1"/>
  <c r="O81" i="14" s="1"/>
  <c r="D82" i="14"/>
  <c r="F82" i="14"/>
  <c r="E82" i="14"/>
  <c r="A84" i="14"/>
  <c r="B83" i="14"/>
  <c r="L83" i="14"/>
  <c r="Z179" i="6"/>
  <c r="P179" i="6"/>
  <c r="AA179" i="6"/>
  <c r="B93" i="13"/>
  <c r="C93" i="13" s="1"/>
  <c r="D93" i="13" s="1"/>
  <c r="A94" i="13"/>
  <c r="H80" i="14"/>
  <c r="I80" i="14" s="1"/>
  <c r="K80" i="14" s="1"/>
  <c r="M80" i="14" s="1"/>
  <c r="A102" i="8"/>
  <c r="B101" i="8"/>
  <c r="Q99" i="8"/>
  <c r="P99" i="8"/>
  <c r="F99" i="8"/>
  <c r="E99" i="8"/>
  <c r="J99" i="8"/>
  <c r="K99" i="8"/>
  <c r="L99" i="8" s="1"/>
  <c r="I100" i="8"/>
  <c r="C100" i="8"/>
  <c r="D100" i="8"/>
  <c r="H100" i="8"/>
  <c r="O100" i="8"/>
  <c r="O179" i="6"/>
  <c r="B180" i="6"/>
  <c r="A181" i="6"/>
  <c r="W179" i="6"/>
  <c r="U179" i="6"/>
  <c r="H179" i="6"/>
  <c r="T179" i="6"/>
  <c r="J179" i="6"/>
  <c r="G179" i="6"/>
  <c r="X179" i="6"/>
  <c r="K179" i="6"/>
  <c r="P81" i="14" l="1"/>
  <c r="G82" i="14"/>
  <c r="H82" i="14" s="1"/>
  <c r="I82" i="14" s="1"/>
  <c r="K82" i="14" s="1"/>
  <c r="M82" i="14" s="1"/>
  <c r="P82" i="14" s="1"/>
  <c r="P80" i="14"/>
  <c r="N80" i="14"/>
  <c r="O80" i="14" s="1"/>
  <c r="D83" i="14"/>
  <c r="E83" i="14"/>
  <c r="F83" i="14"/>
  <c r="Z180" i="6"/>
  <c r="AA180" i="6"/>
  <c r="P180" i="6"/>
  <c r="A85" i="14"/>
  <c r="B84" i="14"/>
  <c r="L84" i="14"/>
  <c r="A95" i="13"/>
  <c r="B94" i="13"/>
  <c r="C94" i="13" s="1"/>
  <c r="D94" i="13" s="1"/>
  <c r="P100" i="8"/>
  <c r="Q100" i="8"/>
  <c r="A103" i="8"/>
  <c r="B102" i="8"/>
  <c r="J100" i="8"/>
  <c r="K100" i="8"/>
  <c r="L100" i="8" s="1"/>
  <c r="E100" i="8"/>
  <c r="F100" i="8"/>
  <c r="C101" i="8"/>
  <c r="I101" i="8"/>
  <c r="D101" i="8"/>
  <c r="H101" i="8"/>
  <c r="O101" i="8"/>
  <c r="O180" i="6"/>
  <c r="B181" i="6"/>
  <c r="A182" i="6"/>
  <c r="U180" i="6"/>
  <c r="H180" i="6"/>
  <c r="J180" i="6"/>
  <c r="K180" i="6"/>
  <c r="T180" i="6"/>
  <c r="W180" i="6"/>
  <c r="G180" i="6"/>
  <c r="X180" i="6"/>
  <c r="N82" i="14" l="1"/>
  <c r="O82" i="14" s="1"/>
  <c r="A96" i="13"/>
  <c r="B95" i="13"/>
  <c r="C95" i="13" s="1"/>
  <c r="D95" i="13" s="1"/>
  <c r="G83" i="14"/>
  <c r="D84" i="14"/>
  <c r="F84" i="14"/>
  <c r="E84" i="14"/>
  <c r="Z181" i="6"/>
  <c r="AA181" i="6"/>
  <c r="P181" i="6"/>
  <c r="A86" i="14"/>
  <c r="B85" i="14"/>
  <c r="L85" i="14"/>
  <c r="K101" i="8"/>
  <c r="L101" i="8" s="1"/>
  <c r="J101" i="8"/>
  <c r="D102" i="8"/>
  <c r="I102" i="8"/>
  <c r="C102" i="8"/>
  <c r="H102" i="8"/>
  <c r="O102" i="8"/>
  <c r="A104" i="8"/>
  <c r="B103" i="8"/>
  <c r="P101" i="8"/>
  <c r="Q101" i="8"/>
  <c r="E101" i="8"/>
  <c r="F101" i="8"/>
  <c r="O181" i="6"/>
  <c r="B182" i="6"/>
  <c r="A183" i="6"/>
  <c r="W181" i="6"/>
  <c r="U181" i="6"/>
  <c r="H181" i="6"/>
  <c r="T181" i="6"/>
  <c r="G181" i="6"/>
  <c r="X181" i="6"/>
  <c r="J181" i="6"/>
  <c r="K181" i="6"/>
  <c r="G84" i="14" l="1"/>
  <c r="H84" i="14" s="1"/>
  <c r="I84" i="14" s="1"/>
  <c r="K84" i="14" s="1"/>
  <c r="M84" i="14" s="1"/>
  <c r="Z182" i="6"/>
  <c r="P182" i="6"/>
  <c r="AA182" i="6"/>
  <c r="D85" i="14"/>
  <c r="F85" i="14"/>
  <c r="E85" i="14"/>
  <c r="H83" i="14"/>
  <c r="I83" i="14" s="1"/>
  <c r="K83" i="14" s="1"/>
  <c r="M83" i="14" s="1"/>
  <c r="A87" i="14"/>
  <c r="B86" i="14"/>
  <c r="L86" i="14"/>
  <c r="A97" i="13"/>
  <c r="B96" i="13"/>
  <c r="C96" i="13" s="1"/>
  <c r="D96" i="13" s="1"/>
  <c r="A105" i="8"/>
  <c r="B104" i="8"/>
  <c r="J102" i="8"/>
  <c r="K102" i="8"/>
  <c r="L102" i="8" s="1"/>
  <c r="P102" i="8"/>
  <c r="Q102" i="8"/>
  <c r="C103" i="8"/>
  <c r="D103" i="8"/>
  <c r="I103" i="8"/>
  <c r="H103" i="8"/>
  <c r="O103" i="8"/>
  <c r="E102" i="8"/>
  <c r="F102" i="8"/>
  <c r="O182" i="6"/>
  <c r="B183" i="6"/>
  <c r="A184" i="6"/>
  <c r="U182" i="6"/>
  <c r="H182" i="6"/>
  <c r="W182" i="6"/>
  <c r="K182" i="6"/>
  <c r="J182" i="6"/>
  <c r="T182" i="6"/>
  <c r="G182" i="6"/>
  <c r="X182" i="6"/>
  <c r="N83" i="14" l="1"/>
  <c r="O83" i="14" s="1"/>
  <c r="P83" i="14"/>
  <c r="P84" i="14"/>
  <c r="N84" i="14"/>
  <c r="O84" i="14" s="1"/>
  <c r="G85" i="14"/>
  <c r="H85" i="14" s="1"/>
  <c r="I85" i="14" s="1"/>
  <c r="K85" i="14" s="1"/>
  <c r="M85" i="14" s="1"/>
  <c r="Z183" i="6"/>
  <c r="P183" i="6"/>
  <c r="AA183" i="6"/>
  <c r="A98" i="13"/>
  <c r="B97" i="13"/>
  <c r="C97" i="13" s="1"/>
  <c r="D97" i="13" s="1"/>
  <c r="D86" i="14"/>
  <c r="F86" i="14"/>
  <c r="E86" i="14"/>
  <c r="A88" i="14"/>
  <c r="B87" i="14"/>
  <c r="L87" i="14"/>
  <c r="F103" i="8"/>
  <c r="E103" i="8"/>
  <c r="J103" i="8"/>
  <c r="K103" i="8"/>
  <c r="L103" i="8" s="1"/>
  <c r="Q103" i="8"/>
  <c r="P103" i="8"/>
  <c r="I104" i="8"/>
  <c r="C104" i="8"/>
  <c r="D104" i="8"/>
  <c r="H104" i="8"/>
  <c r="O104" i="8"/>
  <c r="A106" i="8"/>
  <c r="B105" i="8"/>
  <c r="O183" i="6"/>
  <c r="B184" i="6"/>
  <c r="A185" i="6"/>
  <c r="W183" i="6"/>
  <c r="U183" i="6"/>
  <c r="H183" i="6"/>
  <c r="T183" i="6"/>
  <c r="G183" i="6"/>
  <c r="X183" i="6"/>
  <c r="K183" i="6"/>
  <c r="J183" i="6"/>
  <c r="G86" i="14" l="1"/>
  <c r="H86" i="14" s="1"/>
  <c r="I86" i="14" s="1"/>
  <c r="K86" i="14" s="1"/>
  <c r="M86" i="14" s="1"/>
  <c r="D87" i="14"/>
  <c r="F87" i="14"/>
  <c r="E87" i="14"/>
  <c r="A89" i="14"/>
  <c r="B88" i="14"/>
  <c r="L88" i="14"/>
  <c r="P85" i="14"/>
  <c r="N85" i="14"/>
  <c r="O85" i="14" s="1"/>
  <c r="Z184" i="6"/>
  <c r="P184" i="6"/>
  <c r="AA184" i="6"/>
  <c r="A99" i="13"/>
  <c r="B99" i="13" s="1"/>
  <c r="C99" i="13" s="1"/>
  <c r="D99" i="13" s="1"/>
  <c r="B98" i="13"/>
  <c r="C98" i="13" s="1"/>
  <c r="D98" i="13" s="1"/>
  <c r="E104" i="8"/>
  <c r="F104" i="8"/>
  <c r="P104" i="8"/>
  <c r="Q104" i="8"/>
  <c r="J104" i="8"/>
  <c r="K104" i="8"/>
  <c r="L104" i="8" s="1"/>
  <c r="B106" i="8"/>
  <c r="A107" i="8"/>
  <c r="C105" i="8"/>
  <c r="I105" i="8"/>
  <c r="D105" i="8"/>
  <c r="H105" i="8"/>
  <c r="O105" i="8"/>
  <c r="O184" i="6"/>
  <c r="B185" i="6"/>
  <c r="A186" i="6"/>
  <c r="U184" i="6"/>
  <c r="H184" i="6"/>
  <c r="K184" i="6"/>
  <c r="W184" i="6"/>
  <c r="J184" i="6"/>
  <c r="T184" i="6"/>
  <c r="G184" i="6"/>
  <c r="X184" i="6"/>
  <c r="G87" i="14" l="1"/>
  <c r="H87" i="14" s="1"/>
  <c r="I87" i="14" s="1"/>
  <c r="K87" i="14" s="1"/>
  <c r="M87" i="14" s="1"/>
  <c r="P86" i="14"/>
  <c r="N86" i="14"/>
  <c r="O86" i="14" s="1"/>
  <c r="D88" i="14"/>
  <c r="E88" i="14"/>
  <c r="F88" i="14"/>
  <c r="A90" i="14"/>
  <c r="B89" i="14"/>
  <c r="L89" i="14"/>
  <c r="Z185" i="6"/>
  <c r="P185" i="6"/>
  <c r="AA185" i="6"/>
  <c r="K105" i="8"/>
  <c r="L105" i="8" s="1"/>
  <c r="J105" i="8"/>
  <c r="D106" i="8"/>
  <c r="I106" i="8"/>
  <c r="C106" i="8"/>
  <c r="H106" i="8"/>
  <c r="O106" i="8"/>
  <c r="A108" i="8"/>
  <c r="B107" i="8"/>
  <c r="P105" i="8"/>
  <c r="Q105" i="8"/>
  <c r="E105" i="8"/>
  <c r="F105" i="8"/>
  <c r="O185" i="6"/>
  <c r="B186" i="6"/>
  <c r="A187" i="6"/>
  <c r="W185" i="6"/>
  <c r="U185" i="6"/>
  <c r="H185" i="6"/>
  <c r="J185" i="6"/>
  <c r="T185" i="6"/>
  <c r="G185" i="6"/>
  <c r="X185" i="6"/>
  <c r="K185" i="6"/>
  <c r="N87" i="14" l="1"/>
  <c r="O87" i="14" s="1"/>
  <c r="P87" i="14"/>
  <c r="A91" i="14"/>
  <c r="B90" i="14"/>
  <c r="L90" i="14"/>
  <c r="G88" i="14"/>
  <c r="H88" i="14" s="1"/>
  <c r="I88" i="14" s="1"/>
  <c r="K88" i="14" s="1"/>
  <c r="M88" i="14" s="1"/>
  <c r="Z186" i="6"/>
  <c r="P186" i="6"/>
  <c r="AA186" i="6"/>
  <c r="D89" i="14"/>
  <c r="F89" i="14"/>
  <c r="E89" i="14"/>
  <c r="P106" i="8"/>
  <c r="Q106" i="8"/>
  <c r="J106" i="8"/>
  <c r="K106" i="8"/>
  <c r="L106" i="8" s="1"/>
  <c r="B108" i="8"/>
  <c r="A109" i="8"/>
  <c r="C107" i="8"/>
  <c r="D107" i="8"/>
  <c r="I107" i="8"/>
  <c r="H107" i="8"/>
  <c r="O107" i="8"/>
  <c r="E106" i="8"/>
  <c r="F106" i="8"/>
  <c r="O186" i="6"/>
  <c r="B187" i="6"/>
  <c r="A188" i="6"/>
  <c r="U186" i="6"/>
  <c r="H186" i="6"/>
  <c r="W186" i="6"/>
  <c r="J186" i="6"/>
  <c r="T186" i="6"/>
  <c r="K186" i="6"/>
  <c r="X186" i="6"/>
  <c r="G186" i="6"/>
  <c r="P88" i="14" l="1"/>
  <c r="N88" i="14"/>
  <c r="O88" i="14" s="1"/>
  <c r="G89" i="14"/>
  <c r="H89" i="14" s="1"/>
  <c r="I89" i="14" s="1"/>
  <c r="K89" i="14" s="1"/>
  <c r="M89" i="14" s="1"/>
  <c r="P89" i="14" s="1"/>
  <c r="D90" i="14"/>
  <c r="F90" i="14"/>
  <c r="E90" i="14"/>
  <c r="Z187" i="6"/>
  <c r="AA187" i="6"/>
  <c r="P187" i="6"/>
  <c r="A92" i="14"/>
  <c r="B91" i="14"/>
  <c r="L91" i="14"/>
  <c r="F107" i="8"/>
  <c r="E107" i="8"/>
  <c r="A110" i="8"/>
  <c r="B109" i="8"/>
  <c r="Q107" i="8"/>
  <c r="P107" i="8"/>
  <c r="J107" i="8"/>
  <c r="K107" i="8"/>
  <c r="L107" i="8" s="1"/>
  <c r="I108" i="8"/>
  <c r="C108" i="8"/>
  <c r="D108" i="8"/>
  <c r="H108" i="8"/>
  <c r="O108" i="8"/>
  <c r="O187" i="6"/>
  <c r="B188" i="6"/>
  <c r="A189" i="6"/>
  <c r="U187" i="6"/>
  <c r="H187" i="6"/>
  <c r="W187" i="6"/>
  <c r="X187" i="6"/>
  <c r="J187" i="6"/>
  <c r="T187" i="6"/>
  <c r="K187" i="6"/>
  <c r="G187" i="6"/>
  <c r="N89" i="14" l="1"/>
  <c r="O89" i="14" s="1"/>
  <c r="G90" i="14"/>
  <c r="H90" i="14" s="1"/>
  <c r="I90" i="14" s="1"/>
  <c r="K90" i="14" s="1"/>
  <c r="M90" i="14" s="1"/>
  <c r="Z188" i="6"/>
  <c r="AA188" i="6"/>
  <c r="P188" i="6"/>
  <c r="D91" i="14"/>
  <c r="E91" i="14"/>
  <c r="F91" i="14"/>
  <c r="A93" i="14"/>
  <c r="B92" i="14"/>
  <c r="L92" i="14"/>
  <c r="A111" i="8"/>
  <c r="B110" i="8"/>
  <c r="J108" i="8"/>
  <c r="K108" i="8"/>
  <c r="L108" i="8" s="1"/>
  <c r="C109" i="8"/>
  <c r="I109" i="8"/>
  <c r="D109" i="8"/>
  <c r="H109" i="8"/>
  <c r="O109" i="8"/>
  <c r="E108" i="8"/>
  <c r="F108" i="8"/>
  <c r="P108" i="8"/>
  <c r="Q108" i="8"/>
  <c r="O188" i="6"/>
  <c r="B189" i="6"/>
  <c r="A190" i="6"/>
  <c r="H188" i="6"/>
  <c r="J188" i="6"/>
  <c r="U188" i="6"/>
  <c r="W188" i="6"/>
  <c r="G188" i="6"/>
  <c r="T188" i="6"/>
  <c r="X188" i="6"/>
  <c r="K188" i="6"/>
  <c r="N90" i="14" l="1"/>
  <c r="O90" i="14" s="1"/>
  <c r="P90" i="14"/>
  <c r="G91" i="14"/>
  <c r="H91" i="14" s="1"/>
  <c r="I91" i="14" s="1"/>
  <c r="K91" i="14" s="1"/>
  <c r="M91" i="14" s="1"/>
  <c r="Z189" i="6"/>
  <c r="P189" i="6"/>
  <c r="AA189" i="6"/>
  <c r="D92" i="14"/>
  <c r="F92" i="14"/>
  <c r="E92" i="14"/>
  <c r="A94" i="14"/>
  <c r="B93" i="14"/>
  <c r="L93" i="14"/>
  <c r="K109" i="8"/>
  <c r="L109" i="8" s="1"/>
  <c r="J109" i="8"/>
  <c r="D110" i="8"/>
  <c r="C110" i="8"/>
  <c r="I110" i="8"/>
  <c r="H110" i="8"/>
  <c r="O110" i="8"/>
  <c r="P109" i="8"/>
  <c r="Q109" i="8"/>
  <c r="E109" i="8"/>
  <c r="F109" i="8"/>
  <c r="A112" i="8"/>
  <c r="B111" i="8"/>
  <c r="O189" i="6"/>
  <c r="B190" i="6"/>
  <c r="A191" i="6"/>
  <c r="U189" i="6"/>
  <c r="H189" i="6"/>
  <c r="G189" i="6"/>
  <c r="K189" i="6"/>
  <c r="W189" i="6"/>
  <c r="T189" i="6"/>
  <c r="J189" i="6"/>
  <c r="X189" i="6"/>
  <c r="P91" i="14" l="1"/>
  <c r="N91" i="14"/>
  <c r="O91" i="14" s="1"/>
  <c r="G92" i="14"/>
  <c r="H92" i="14" s="1"/>
  <c r="I92" i="14" s="1"/>
  <c r="K92" i="14" s="1"/>
  <c r="M92" i="14" s="1"/>
  <c r="Z190" i="6"/>
  <c r="AA190" i="6"/>
  <c r="P190" i="6"/>
  <c r="D93" i="14"/>
  <c r="F93" i="14"/>
  <c r="E93" i="14"/>
  <c r="A95" i="14"/>
  <c r="B94" i="14"/>
  <c r="L94" i="14"/>
  <c r="E110" i="8"/>
  <c r="F110" i="8"/>
  <c r="P110" i="8"/>
  <c r="Q110" i="8"/>
  <c r="J110" i="8"/>
  <c r="K110" i="8"/>
  <c r="L110" i="8" s="1"/>
  <c r="A113" i="8"/>
  <c r="B112" i="8"/>
  <c r="C111" i="8"/>
  <c r="D111" i="8"/>
  <c r="I111" i="8"/>
  <c r="H111" i="8"/>
  <c r="O111" i="8"/>
  <c r="O190" i="6"/>
  <c r="B191" i="6"/>
  <c r="A192" i="6"/>
  <c r="J190" i="6"/>
  <c r="U190" i="6"/>
  <c r="H190" i="6"/>
  <c r="W190" i="6"/>
  <c r="K190" i="6"/>
  <c r="T190" i="6"/>
  <c r="G190" i="6"/>
  <c r="X190" i="6"/>
  <c r="N92" i="14" l="1"/>
  <c r="O92" i="14" s="1"/>
  <c r="P92" i="14"/>
  <c r="G93" i="14"/>
  <c r="H93" i="14" s="1"/>
  <c r="I93" i="14" s="1"/>
  <c r="K93" i="14" s="1"/>
  <c r="M93" i="14" s="1"/>
  <c r="A96" i="14"/>
  <c r="B95" i="14"/>
  <c r="L95" i="14"/>
  <c r="Z191" i="6"/>
  <c r="AA191" i="6"/>
  <c r="P191" i="6"/>
  <c r="D94" i="14"/>
  <c r="F94" i="14"/>
  <c r="E94" i="14"/>
  <c r="J111" i="8"/>
  <c r="K111" i="8"/>
  <c r="L111" i="8" s="1"/>
  <c r="I112" i="8"/>
  <c r="C112" i="8"/>
  <c r="D112" i="8"/>
  <c r="H112" i="8"/>
  <c r="O112" i="8"/>
  <c r="A114" i="8"/>
  <c r="B114" i="8" s="1"/>
  <c r="B113" i="8"/>
  <c r="Q111" i="8"/>
  <c r="P111" i="8"/>
  <c r="F111" i="8"/>
  <c r="E111" i="8"/>
  <c r="O191" i="6"/>
  <c r="B192" i="6"/>
  <c r="A193" i="6"/>
  <c r="U191" i="6"/>
  <c r="H191" i="6"/>
  <c r="W191" i="6"/>
  <c r="T191" i="6"/>
  <c r="J191" i="6"/>
  <c r="G191" i="6"/>
  <c r="X191" i="6"/>
  <c r="K191" i="6"/>
  <c r="G94" i="14" l="1"/>
  <c r="H94" i="14" s="1"/>
  <c r="I94" i="14" s="1"/>
  <c r="K94" i="14" s="1"/>
  <c r="M94" i="14" s="1"/>
  <c r="N93" i="14"/>
  <c r="O93" i="14" s="1"/>
  <c r="D95" i="14"/>
  <c r="E95" i="14"/>
  <c r="F95" i="14"/>
  <c r="Z192" i="6"/>
  <c r="P192" i="6"/>
  <c r="AA192" i="6"/>
  <c r="A97" i="14"/>
  <c r="B96" i="14"/>
  <c r="L96" i="14"/>
  <c r="D114" i="8"/>
  <c r="C114" i="8"/>
  <c r="I114" i="8"/>
  <c r="H114" i="8"/>
  <c r="O114" i="8"/>
  <c r="E112" i="8"/>
  <c r="F112" i="8"/>
  <c r="P112" i="8"/>
  <c r="Q112" i="8"/>
  <c r="J112" i="8"/>
  <c r="K112" i="8"/>
  <c r="L112" i="8" s="1"/>
  <c r="C113" i="8"/>
  <c r="I113" i="8"/>
  <c r="D113" i="8"/>
  <c r="H113" i="8"/>
  <c r="O113" i="8"/>
  <c r="O192" i="6"/>
  <c r="B193" i="6"/>
  <c r="A194" i="6"/>
  <c r="J192" i="6"/>
  <c r="U192" i="6"/>
  <c r="H192" i="6"/>
  <c r="W192" i="6"/>
  <c r="K192" i="6"/>
  <c r="T192" i="6"/>
  <c r="G192" i="6"/>
  <c r="X192" i="6"/>
  <c r="P93" i="14" l="1"/>
  <c r="N94" i="14"/>
  <c r="O94" i="14" s="1"/>
  <c r="Z193" i="6"/>
  <c r="P193" i="6"/>
  <c r="AA193" i="6"/>
  <c r="G95" i="14"/>
  <c r="D96" i="14"/>
  <c r="E96" i="14"/>
  <c r="F96" i="14"/>
  <c r="A98" i="14"/>
  <c r="B97" i="14"/>
  <c r="L97" i="14"/>
  <c r="P113" i="8"/>
  <c r="Q113" i="8"/>
  <c r="E113" i="8"/>
  <c r="F113" i="8"/>
  <c r="J114" i="8"/>
  <c r="K114" i="8"/>
  <c r="L114" i="8" s="1"/>
  <c r="K113" i="8"/>
  <c r="L113" i="8" s="1"/>
  <c r="J113" i="8"/>
  <c r="E114" i="8"/>
  <c r="F114" i="8"/>
  <c r="P114" i="8"/>
  <c r="Q114" i="8"/>
  <c r="O193" i="6"/>
  <c r="B194" i="6"/>
  <c r="A195" i="6"/>
  <c r="U193" i="6"/>
  <c r="H193" i="6"/>
  <c r="T193" i="6"/>
  <c r="G193" i="6"/>
  <c r="X193" i="6"/>
  <c r="W193" i="6"/>
  <c r="K193" i="6"/>
  <c r="J193" i="6"/>
  <c r="P94" i="14" l="1"/>
  <c r="Z194" i="6"/>
  <c r="P194" i="6"/>
  <c r="AA194" i="6"/>
  <c r="A99" i="14"/>
  <c r="B98" i="14"/>
  <c r="L98" i="14"/>
  <c r="G96" i="14"/>
  <c r="H96" i="14" s="1"/>
  <c r="I96" i="14" s="1"/>
  <c r="K96" i="14" s="1"/>
  <c r="M96" i="14" s="1"/>
  <c r="H95" i="14"/>
  <c r="I95" i="14" s="1"/>
  <c r="K95" i="14" s="1"/>
  <c r="M95" i="14" s="1"/>
  <c r="D97" i="14"/>
  <c r="F97" i="14"/>
  <c r="E97" i="14"/>
  <c r="O194" i="6"/>
  <c r="B195" i="6"/>
  <c r="A196" i="6"/>
  <c r="J194" i="6"/>
  <c r="U194" i="6"/>
  <c r="H194" i="6"/>
  <c r="W194" i="6"/>
  <c r="K194" i="6"/>
  <c r="T194" i="6"/>
  <c r="G194" i="6"/>
  <c r="X194" i="6"/>
  <c r="G97" i="14" l="1"/>
  <c r="H97" i="14" s="1"/>
  <c r="I97" i="14" s="1"/>
  <c r="K97" i="14" s="1"/>
  <c r="M97" i="14" s="1"/>
  <c r="N95" i="14"/>
  <c r="O95" i="14" s="1"/>
  <c r="D98" i="14"/>
  <c r="F98" i="14"/>
  <c r="E98" i="14"/>
  <c r="N96" i="14"/>
  <c r="O96" i="14" s="1"/>
  <c r="A100" i="14"/>
  <c r="B99" i="14"/>
  <c r="L99" i="14"/>
  <c r="Z195" i="6"/>
  <c r="P195" i="6"/>
  <c r="AA195" i="6"/>
  <c r="O195" i="6"/>
  <c r="B196" i="6"/>
  <c r="A197" i="6"/>
  <c r="U195" i="6"/>
  <c r="H195" i="6"/>
  <c r="W195" i="6"/>
  <c r="T195" i="6"/>
  <c r="J195" i="6"/>
  <c r="G195" i="6"/>
  <c r="X195" i="6"/>
  <c r="K195" i="6"/>
  <c r="P96" i="14" l="1"/>
  <c r="P95" i="14"/>
  <c r="N97" i="14"/>
  <c r="O97" i="14" s="1"/>
  <c r="P97" i="14"/>
  <c r="G98" i="14"/>
  <c r="H98" i="14" s="1"/>
  <c r="I98" i="14" s="1"/>
  <c r="K98" i="14" s="1"/>
  <c r="M98" i="14" s="1"/>
  <c r="A101" i="14"/>
  <c r="B100" i="14"/>
  <c r="L100" i="14"/>
  <c r="Z196" i="6"/>
  <c r="P196" i="6"/>
  <c r="AA196" i="6"/>
  <c r="D99" i="14"/>
  <c r="F99" i="14"/>
  <c r="E99" i="14"/>
  <c r="O196" i="6"/>
  <c r="B197" i="6"/>
  <c r="A198" i="6"/>
  <c r="J196" i="6"/>
  <c r="U196" i="6"/>
  <c r="H196" i="6"/>
  <c r="W196" i="6"/>
  <c r="K196" i="6"/>
  <c r="T196" i="6"/>
  <c r="G196" i="6"/>
  <c r="X196" i="6"/>
  <c r="G99" i="14" l="1"/>
  <c r="N98" i="14"/>
  <c r="O98" i="14" s="1"/>
  <c r="P98" i="14"/>
  <c r="Z197" i="6"/>
  <c r="P197" i="6"/>
  <c r="AA197" i="6"/>
  <c r="D100" i="14"/>
  <c r="F100" i="14"/>
  <c r="E100" i="14"/>
  <c r="A102" i="14"/>
  <c r="B101" i="14"/>
  <c r="L101" i="14"/>
  <c r="O197" i="6"/>
  <c r="B198" i="6"/>
  <c r="A199" i="6"/>
  <c r="U197" i="6"/>
  <c r="H197" i="6"/>
  <c r="T197" i="6"/>
  <c r="G197" i="6"/>
  <c r="X197" i="6"/>
  <c r="W197" i="6"/>
  <c r="K197" i="6"/>
  <c r="J197" i="6"/>
  <c r="H99" i="14" l="1"/>
  <c r="I99" i="14" s="1"/>
  <c r="K99" i="14" s="1"/>
  <c r="M99" i="14" s="1"/>
  <c r="A103" i="14"/>
  <c r="B102" i="14"/>
  <c r="L102" i="14"/>
  <c r="D101" i="14"/>
  <c r="F101" i="14"/>
  <c r="E101" i="14"/>
  <c r="G100" i="14"/>
  <c r="H100" i="14" s="1"/>
  <c r="I100" i="14" s="1"/>
  <c r="K100" i="14" s="1"/>
  <c r="M100" i="14" s="1"/>
  <c r="Z198" i="6"/>
  <c r="P198" i="6"/>
  <c r="AA198" i="6"/>
  <c r="O198" i="6"/>
  <c r="B199" i="6"/>
  <c r="A200" i="6"/>
  <c r="J198" i="6"/>
  <c r="U198" i="6"/>
  <c r="H198" i="6"/>
  <c r="W198" i="6"/>
  <c r="K198" i="6"/>
  <c r="T198" i="6"/>
  <c r="G198" i="6"/>
  <c r="X198" i="6"/>
  <c r="N100" i="14" l="1"/>
  <c r="O100" i="14" s="1"/>
  <c r="N99" i="14"/>
  <c r="O99" i="14" s="1"/>
  <c r="G101" i="14"/>
  <c r="Z199" i="6"/>
  <c r="P199" i="6"/>
  <c r="AA199" i="6"/>
  <c r="D102" i="14"/>
  <c r="F102" i="14"/>
  <c r="E102" i="14"/>
  <c r="A104" i="14"/>
  <c r="B103" i="14"/>
  <c r="L103" i="14"/>
  <c r="O199" i="6"/>
  <c r="A201" i="6"/>
  <c r="B200" i="6"/>
  <c r="U199" i="6"/>
  <c r="H199" i="6"/>
  <c r="W199" i="6"/>
  <c r="T199" i="6"/>
  <c r="J199" i="6"/>
  <c r="G199" i="6"/>
  <c r="X199" i="6"/>
  <c r="K199" i="6"/>
  <c r="P100" i="14" l="1"/>
  <c r="P99" i="14"/>
  <c r="G102" i="14"/>
  <c r="H102" i="14" s="1"/>
  <c r="I102" i="14" s="1"/>
  <c r="K102" i="14" s="1"/>
  <c r="M102" i="14" s="1"/>
  <c r="N102" i="14" s="1"/>
  <c r="O102" i="14" s="1"/>
  <c r="A105" i="14"/>
  <c r="B104" i="14"/>
  <c r="L104" i="14"/>
  <c r="Z200" i="6"/>
  <c r="AA200" i="6"/>
  <c r="P200" i="6"/>
  <c r="D103" i="14"/>
  <c r="F103" i="14"/>
  <c r="E103" i="14"/>
  <c r="H101" i="14"/>
  <c r="I101" i="14" s="1"/>
  <c r="K101" i="14" s="1"/>
  <c r="M101" i="14" s="1"/>
  <c r="O200" i="6"/>
  <c r="J200" i="6"/>
  <c r="U200" i="6"/>
  <c r="H200" i="6"/>
  <c r="K200" i="6"/>
  <c r="T200" i="6"/>
  <c r="W200" i="6"/>
  <c r="G200" i="6"/>
  <c r="X200" i="6"/>
  <c r="A202" i="6"/>
  <c r="B201" i="6"/>
  <c r="G103" i="14" l="1"/>
  <c r="H103" i="14" s="1"/>
  <c r="I103" i="14" s="1"/>
  <c r="K103" i="14" s="1"/>
  <c r="M103" i="14" s="1"/>
  <c r="P102" i="14"/>
  <c r="N101" i="14"/>
  <c r="O101" i="14" s="1"/>
  <c r="P101" i="14"/>
  <c r="Z201" i="6"/>
  <c r="AA201" i="6"/>
  <c r="P201" i="6"/>
  <c r="D104" i="14"/>
  <c r="E104" i="14"/>
  <c r="F104" i="14"/>
  <c r="A106" i="14"/>
  <c r="B105" i="14"/>
  <c r="L105" i="14"/>
  <c r="O201" i="6"/>
  <c r="U201" i="6"/>
  <c r="W201" i="6"/>
  <c r="H201" i="6"/>
  <c r="T201" i="6"/>
  <c r="G201" i="6"/>
  <c r="X201" i="6"/>
  <c r="J201" i="6"/>
  <c r="K201" i="6"/>
  <c r="B202" i="6"/>
  <c r="A203" i="6"/>
  <c r="N103" i="14" l="1"/>
  <c r="O103" i="14" s="1"/>
  <c r="A107" i="14"/>
  <c r="B106" i="14"/>
  <c r="L106" i="14"/>
  <c r="D105" i="14"/>
  <c r="F105" i="14"/>
  <c r="E105" i="14"/>
  <c r="Z202" i="6"/>
  <c r="AA202" i="6"/>
  <c r="P202" i="6"/>
  <c r="G104" i="14"/>
  <c r="H104" i="14" s="1"/>
  <c r="I104" i="14" s="1"/>
  <c r="K104" i="14" s="1"/>
  <c r="M104" i="14" s="1"/>
  <c r="O202" i="6"/>
  <c r="U202" i="6"/>
  <c r="H202" i="6"/>
  <c r="J202" i="6"/>
  <c r="K202" i="6"/>
  <c r="T202" i="6"/>
  <c r="W202" i="6"/>
  <c r="G202" i="6"/>
  <c r="X202" i="6"/>
  <c r="B203" i="6"/>
  <c r="A204" i="6"/>
  <c r="P103" i="14" l="1"/>
  <c r="N104" i="14"/>
  <c r="O104" i="14" s="1"/>
  <c r="G105" i="14"/>
  <c r="H105" i="14" s="1"/>
  <c r="I105" i="14" s="1"/>
  <c r="K105" i="14" s="1"/>
  <c r="M105" i="14" s="1"/>
  <c r="N105" i="14" s="1"/>
  <c r="O105" i="14" s="1"/>
  <c r="D106" i="14"/>
  <c r="E106" i="14"/>
  <c r="F106" i="14"/>
  <c r="A108" i="14"/>
  <c r="B107" i="14"/>
  <c r="L107" i="14"/>
  <c r="Z203" i="6"/>
  <c r="AA203" i="6"/>
  <c r="P203" i="6"/>
  <c r="O203" i="6"/>
  <c r="B204" i="6"/>
  <c r="A205" i="6"/>
  <c r="U203" i="6"/>
  <c r="W203" i="6"/>
  <c r="H203" i="6"/>
  <c r="T203" i="6"/>
  <c r="G203" i="6"/>
  <c r="X203" i="6"/>
  <c r="J203" i="6"/>
  <c r="K203" i="6"/>
  <c r="P104" i="14" l="1"/>
  <c r="P105" i="14"/>
  <c r="Z204" i="6"/>
  <c r="AA204" i="6"/>
  <c r="P204" i="6"/>
  <c r="A109" i="14"/>
  <c r="B108" i="14"/>
  <c r="L108" i="14"/>
  <c r="G106" i="14"/>
  <c r="H106" i="14" s="1"/>
  <c r="I106" i="14" s="1"/>
  <c r="K106" i="14" s="1"/>
  <c r="M106" i="14" s="1"/>
  <c r="D107" i="14"/>
  <c r="F107" i="14"/>
  <c r="E107" i="14"/>
  <c r="O204" i="6"/>
  <c r="B205" i="6"/>
  <c r="A206" i="6"/>
  <c r="U204" i="6"/>
  <c r="H204" i="6"/>
  <c r="J204" i="6"/>
  <c r="K204" i="6"/>
  <c r="W204" i="6"/>
  <c r="T204" i="6"/>
  <c r="G204" i="6"/>
  <c r="X204" i="6"/>
  <c r="N106" i="14" l="1"/>
  <c r="O106" i="14" s="1"/>
  <c r="G107" i="14"/>
  <c r="H107" i="14" s="1"/>
  <c r="I107" i="14" s="1"/>
  <c r="K107" i="14" s="1"/>
  <c r="M107" i="14" s="1"/>
  <c r="D108" i="14"/>
  <c r="E108" i="14"/>
  <c r="F108" i="14"/>
  <c r="A110" i="14"/>
  <c r="B109" i="14"/>
  <c r="L109" i="14"/>
  <c r="Z205" i="6"/>
  <c r="AA205" i="6"/>
  <c r="P205" i="6"/>
  <c r="O205" i="6"/>
  <c r="B206" i="6"/>
  <c r="A207" i="6"/>
  <c r="U205" i="6"/>
  <c r="W205" i="6"/>
  <c r="H205" i="6"/>
  <c r="J205" i="6"/>
  <c r="T205" i="6"/>
  <c r="G205" i="6"/>
  <c r="X205" i="6"/>
  <c r="K205" i="6"/>
  <c r="N107" i="14" l="1"/>
  <c r="O107" i="14" s="1"/>
  <c r="P106" i="14"/>
  <c r="D109" i="14"/>
  <c r="F109" i="14"/>
  <c r="E109" i="14"/>
  <c r="A111" i="14"/>
  <c r="B110" i="14"/>
  <c r="L110" i="14"/>
  <c r="Z206" i="6"/>
  <c r="P206" i="6"/>
  <c r="AA206" i="6"/>
  <c r="G108" i="14"/>
  <c r="H108" i="14" s="1"/>
  <c r="I108" i="14" s="1"/>
  <c r="K108" i="14" s="1"/>
  <c r="M108" i="14" s="1"/>
  <c r="N108" i="14" s="1"/>
  <c r="O206" i="6"/>
  <c r="B207" i="6"/>
  <c r="A208" i="6"/>
  <c r="U206" i="6"/>
  <c r="H206" i="6"/>
  <c r="J206" i="6"/>
  <c r="K206" i="6"/>
  <c r="T206" i="6"/>
  <c r="W206" i="6"/>
  <c r="G206" i="6"/>
  <c r="X206" i="6"/>
  <c r="P107" i="14" l="1"/>
  <c r="G109" i="14"/>
  <c r="H109" i="14" s="1"/>
  <c r="I109" i="14" s="1"/>
  <c r="K109" i="14" s="1"/>
  <c r="M109" i="14" s="1"/>
  <c r="D110" i="14"/>
  <c r="F110" i="14"/>
  <c r="E110" i="14"/>
  <c r="Z207" i="6"/>
  <c r="AA207" i="6"/>
  <c r="P207" i="6"/>
  <c r="A112" i="14"/>
  <c r="B111" i="14"/>
  <c r="L111" i="14"/>
  <c r="P108" i="14"/>
  <c r="O108" i="14"/>
  <c r="O207" i="6"/>
  <c r="B208" i="6"/>
  <c r="A209" i="6"/>
  <c r="U207" i="6"/>
  <c r="W207" i="6"/>
  <c r="H207" i="6"/>
  <c r="T207" i="6"/>
  <c r="G207" i="6"/>
  <c r="X207" i="6"/>
  <c r="J207" i="6"/>
  <c r="K207" i="6"/>
  <c r="G110" i="14" l="1"/>
  <c r="H110" i="14" s="1"/>
  <c r="I110" i="14" s="1"/>
  <c r="K110" i="14" s="1"/>
  <c r="M110" i="14" s="1"/>
  <c r="N109" i="14"/>
  <c r="O109" i="14" s="1"/>
  <c r="D111" i="14"/>
  <c r="E111" i="14"/>
  <c r="F111" i="14"/>
  <c r="A113" i="14"/>
  <c r="B112" i="14"/>
  <c r="L112" i="14"/>
  <c r="Z208" i="6"/>
  <c r="AA208" i="6"/>
  <c r="P208" i="6"/>
  <c r="O208" i="6"/>
  <c r="B209" i="6"/>
  <c r="A210" i="6"/>
  <c r="U208" i="6"/>
  <c r="H208" i="6"/>
  <c r="J208" i="6"/>
  <c r="K208" i="6"/>
  <c r="W208" i="6"/>
  <c r="T208" i="6"/>
  <c r="G208" i="6"/>
  <c r="X208" i="6"/>
  <c r="N110" i="14" l="1"/>
  <c r="O110" i="14" s="1"/>
  <c r="P109" i="14"/>
  <c r="D112" i="14"/>
  <c r="F112" i="14"/>
  <c r="E112" i="14"/>
  <c r="A114" i="14"/>
  <c r="B113" i="14"/>
  <c r="L113" i="14"/>
  <c r="G111" i="14"/>
  <c r="H111" i="14" s="1"/>
  <c r="I111" i="14" s="1"/>
  <c r="K111" i="14" s="1"/>
  <c r="M111" i="14" s="1"/>
  <c r="N111" i="14" s="1"/>
  <c r="O111" i="14" s="1"/>
  <c r="Z209" i="6"/>
  <c r="AA209" i="6"/>
  <c r="P209" i="6"/>
  <c r="O209" i="6"/>
  <c r="A211" i="6"/>
  <c r="B210" i="6"/>
  <c r="U209" i="6"/>
  <c r="W209" i="6"/>
  <c r="H209" i="6"/>
  <c r="J209" i="6"/>
  <c r="T209" i="6"/>
  <c r="G209" i="6"/>
  <c r="X209" i="6"/>
  <c r="K209" i="6"/>
  <c r="P110" i="14" l="1"/>
  <c r="P111" i="14"/>
  <c r="G112" i="14"/>
  <c r="H112" i="14" s="1"/>
  <c r="I112" i="14" s="1"/>
  <c r="K112" i="14" s="1"/>
  <c r="M112" i="14" s="1"/>
  <c r="N112" i="14" s="1"/>
  <c r="O112" i="14" s="1"/>
  <c r="P112" i="14" s="1"/>
  <c r="Z210" i="6"/>
  <c r="P210" i="6"/>
  <c r="AA210" i="6"/>
  <c r="D113" i="14"/>
  <c r="F113" i="14"/>
  <c r="E113" i="14"/>
  <c r="A115" i="14"/>
  <c r="B114" i="14"/>
  <c r="L114" i="14"/>
  <c r="O210" i="6"/>
  <c r="H210" i="6"/>
  <c r="U210" i="6"/>
  <c r="J210" i="6"/>
  <c r="K210" i="6"/>
  <c r="T210" i="6"/>
  <c r="W210" i="6"/>
  <c r="G210" i="6"/>
  <c r="X210" i="6"/>
  <c r="A212" i="6"/>
  <c r="B211" i="6"/>
  <c r="G113" i="14" l="1"/>
  <c r="H113" i="14" s="1"/>
  <c r="I113" i="14" s="1"/>
  <c r="K113" i="14" s="1"/>
  <c r="M113" i="14" s="1"/>
  <c r="N113" i="14" s="1"/>
  <c r="O113" i="14" s="1"/>
  <c r="P113" i="14" s="1"/>
  <c r="D114" i="14"/>
  <c r="E114" i="14"/>
  <c r="F114" i="14"/>
  <c r="Z211" i="6"/>
  <c r="AA211" i="6"/>
  <c r="P211" i="6"/>
  <c r="A116" i="14"/>
  <c r="B115" i="14"/>
  <c r="L115" i="14"/>
  <c r="O211" i="6"/>
  <c r="A213" i="6"/>
  <c r="B212" i="6"/>
  <c r="U211" i="6"/>
  <c r="W211" i="6"/>
  <c r="H211" i="6"/>
  <c r="T211" i="6"/>
  <c r="G211" i="6"/>
  <c r="X211" i="6"/>
  <c r="J211" i="6"/>
  <c r="K211" i="6"/>
  <c r="D115" i="14" l="1"/>
  <c r="E115" i="14"/>
  <c r="F115" i="14"/>
  <c r="A117" i="14"/>
  <c r="B116" i="14"/>
  <c r="L116" i="14"/>
  <c r="G114" i="14"/>
  <c r="Z212" i="6"/>
  <c r="AA212" i="6"/>
  <c r="P212" i="6"/>
  <c r="O212" i="6"/>
  <c r="H212" i="6"/>
  <c r="U212" i="6"/>
  <c r="J212" i="6"/>
  <c r="K212" i="6"/>
  <c r="W212" i="6"/>
  <c r="T212" i="6"/>
  <c r="G212" i="6"/>
  <c r="X212" i="6"/>
  <c r="B213" i="6"/>
  <c r="A214" i="6"/>
  <c r="G115" i="14" l="1"/>
  <c r="H115" i="14" s="1"/>
  <c r="I115" i="14" s="1"/>
  <c r="K115" i="14" s="1"/>
  <c r="M115" i="14" s="1"/>
  <c r="N115" i="14" s="1"/>
  <c r="O115" i="14" s="1"/>
  <c r="P115" i="14" s="1"/>
  <c r="D116" i="14"/>
  <c r="E116" i="14"/>
  <c r="F116" i="14"/>
  <c r="Z213" i="6"/>
  <c r="AA213" i="6"/>
  <c r="P213" i="6"/>
  <c r="A118" i="14"/>
  <c r="B117" i="14"/>
  <c r="L117" i="14"/>
  <c r="H114" i="14"/>
  <c r="I114" i="14" s="1"/>
  <c r="K114" i="14" s="1"/>
  <c r="M114" i="14" s="1"/>
  <c r="N114" i="14" s="1"/>
  <c r="O114" i="14" s="1"/>
  <c r="P114" i="14" s="1"/>
  <c r="O213" i="6"/>
  <c r="B214" i="6"/>
  <c r="A215" i="6"/>
  <c r="U213" i="6"/>
  <c r="W213" i="6"/>
  <c r="H213" i="6"/>
  <c r="J213" i="6"/>
  <c r="T213" i="6"/>
  <c r="G213" i="6"/>
  <c r="X213" i="6"/>
  <c r="K213" i="6"/>
  <c r="D117" i="14" l="1"/>
  <c r="F117" i="14"/>
  <c r="E117" i="14"/>
  <c r="Z214" i="6"/>
  <c r="P214" i="6"/>
  <c r="AA214" i="6"/>
  <c r="G116" i="14"/>
  <c r="H116" i="14" s="1"/>
  <c r="I116" i="14" s="1"/>
  <c r="K116" i="14" s="1"/>
  <c r="M116" i="14" s="1"/>
  <c r="N116" i="14" s="1"/>
  <c r="O116" i="14" s="1"/>
  <c r="P116" i="14" s="1"/>
  <c r="A119" i="14"/>
  <c r="B118" i="14"/>
  <c r="L118" i="14"/>
  <c r="O214" i="6"/>
  <c r="B215" i="6"/>
  <c r="A216" i="6"/>
  <c r="U214" i="6"/>
  <c r="H214" i="6"/>
  <c r="J214" i="6"/>
  <c r="K214" i="6"/>
  <c r="T214" i="6"/>
  <c r="W214" i="6"/>
  <c r="G214" i="6"/>
  <c r="X214" i="6"/>
  <c r="G117" i="14" l="1"/>
  <c r="H117" i="14" s="1"/>
  <c r="I117" i="14" s="1"/>
  <c r="K117" i="14" s="1"/>
  <c r="M117" i="14" s="1"/>
  <c r="N117" i="14" s="1"/>
  <c r="O117" i="14" s="1"/>
  <c r="P117" i="14" s="1"/>
  <c r="A120" i="14"/>
  <c r="B119" i="14"/>
  <c r="L119" i="14"/>
  <c r="Z215" i="6"/>
  <c r="AA215" i="6"/>
  <c r="P215" i="6"/>
  <c r="D118" i="14"/>
  <c r="F118" i="14"/>
  <c r="E118" i="14"/>
  <c r="O215" i="6"/>
  <c r="B216" i="6"/>
  <c r="A217" i="6"/>
  <c r="U215" i="6"/>
  <c r="W215" i="6"/>
  <c r="H215" i="6"/>
  <c r="T215" i="6"/>
  <c r="G215" i="6"/>
  <c r="X215" i="6"/>
  <c r="J215" i="6"/>
  <c r="K215" i="6"/>
  <c r="G118" i="14" l="1"/>
  <c r="H118" i="14" s="1"/>
  <c r="I118" i="14" s="1"/>
  <c r="K118" i="14" s="1"/>
  <c r="M118" i="14" s="1"/>
  <c r="N118" i="14" s="1"/>
  <c r="O118" i="14" s="1"/>
  <c r="P118" i="14" s="1"/>
  <c r="Z216" i="6"/>
  <c r="AA216" i="6"/>
  <c r="P216" i="6"/>
  <c r="D119" i="14"/>
  <c r="F119" i="14"/>
  <c r="E119" i="14"/>
  <c r="A121" i="14"/>
  <c r="B120" i="14"/>
  <c r="L120" i="14"/>
  <c r="O216" i="6"/>
  <c r="B217" i="6"/>
  <c r="A218" i="6"/>
  <c r="U216" i="6"/>
  <c r="H216" i="6"/>
  <c r="J216" i="6"/>
  <c r="K216" i="6"/>
  <c r="W216" i="6"/>
  <c r="T216" i="6"/>
  <c r="G216" i="6"/>
  <c r="X216" i="6"/>
  <c r="G119" i="14" l="1"/>
  <c r="H119" i="14" s="1"/>
  <c r="I119" i="14" s="1"/>
  <c r="K119" i="14" s="1"/>
  <c r="M119" i="14" s="1"/>
  <c r="N119" i="14" s="1"/>
  <c r="O119" i="14" s="1"/>
  <c r="P119" i="14" s="1"/>
  <c r="D120" i="14"/>
  <c r="E120" i="14"/>
  <c r="F120" i="14"/>
  <c r="A122" i="14"/>
  <c r="B121" i="14"/>
  <c r="L121" i="14"/>
  <c r="Z217" i="6"/>
  <c r="AA217" i="6"/>
  <c r="P217" i="6"/>
  <c r="O217" i="6"/>
  <c r="B218" i="6"/>
  <c r="A219" i="6"/>
  <c r="U217" i="6"/>
  <c r="W217" i="6"/>
  <c r="H217" i="6"/>
  <c r="J217" i="6"/>
  <c r="T217" i="6"/>
  <c r="G217" i="6"/>
  <c r="X217" i="6"/>
  <c r="K217" i="6"/>
  <c r="Z218" i="6" l="1"/>
  <c r="P218" i="6"/>
  <c r="AA218" i="6"/>
  <c r="D121" i="14"/>
  <c r="F121" i="14"/>
  <c r="E121" i="14"/>
  <c r="A123" i="14"/>
  <c r="B122" i="14"/>
  <c r="L122" i="14"/>
  <c r="G120" i="14"/>
  <c r="O218" i="6"/>
  <c r="B219" i="6"/>
  <c r="A220" i="6"/>
  <c r="U218" i="6"/>
  <c r="H218" i="6"/>
  <c r="J218" i="6"/>
  <c r="K218" i="6"/>
  <c r="T218" i="6"/>
  <c r="W218" i="6"/>
  <c r="G218" i="6"/>
  <c r="X218" i="6"/>
  <c r="G121" i="14" l="1"/>
  <c r="H121" i="14" s="1"/>
  <c r="I121" i="14" s="1"/>
  <c r="K121" i="14" s="1"/>
  <c r="M121" i="14" s="1"/>
  <c r="N121" i="14" s="1"/>
  <c r="O121" i="14" s="1"/>
  <c r="P121" i="14" s="1"/>
  <c r="D122" i="14"/>
  <c r="F122" i="14"/>
  <c r="E122" i="14"/>
  <c r="Z219" i="6"/>
  <c r="AA219" i="6"/>
  <c r="P219" i="6"/>
  <c r="A124" i="14"/>
  <c r="B123" i="14"/>
  <c r="L123" i="14"/>
  <c r="H120" i="14"/>
  <c r="I120" i="14" s="1"/>
  <c r="K120" i="14" s="1"/>
  <c r="M120" i="14" s="1"/>
  <c r="N120" i="14" s="1"/>
  <c r="O120" i="14" s="1"/>
  <c r="P120" i="14" s="1"/>
  <c r="O219" i="6"/>
  <c r="B220" i="6"/>
  <c r="A221" i="6"/>
  <c r="B221" i="6" s="1"/>
  <c r="U219" i="6"/>
  <c r="W219" i="6"/>
  <c r="H219" i="6"/>
  <c r="T219" i="6"/>
  <c r="G219" i="6"/>
  <c r="X219" i="6"/>
  <c r="J219" i="6"/>
  <c r="K219" i="6"/>
  <c r="G122" i="14" l="1"/>
  <c r="H122" i="14" s="1"/>
  <c r="I122" i="14" s="1"/>
  <c r="K122" i="14" s="1"/>
  <c r="M122" i="14" s="1"/>
  <c r="N122" i="14" s="1"/>
  <c r="O122" i="14" s="1"/>
  <c r="P122" i="14" s="1"/>
  <c r="Z221" i="6"/>
  <c r="AA221" i="6"/>
  <c r="P221" i="6"/>
  <c r="Z220" i="6"/>
  <c r="AA220" i="6"/>
  <c r="P220" i="6"/>
  <c r="D123" i="14"/>
  <c r="F123" i="14"/>
  <c r="E123" i="14"/>
  <c r="A125" i="14"/>
  <c r="B124" i="14"/>
  <c r="L124" i="14"/>
  <c r="O221" i="6"/>
  <c r="O220" i="6"/>
  <c r="U221" i="6"/>
  <c r="W221" i="6"/>
  <c r="H221" i="6"/>
  <c r="J221" i="6"/>
  <c r="T221" i="6"/>
  <c r="G221" i="6"/>
  <c r="X221" i="6"/>
  <c r="K221" i="6"/>
  <c r="U220" i="6"/>
  <c r="H220" i="6"/>
  <c r="J220" i="6"/>
  <c r="K220" i="6"/>
  <c r="W220" i="6"/>
  <c r="T220" i="6"/>
  <c r="G220" i="6"/>
  <c r="X220" i="6"/>
  <c r="G123" i="14" l="1"/>
  <c r="H123" i="14" s="1"/>
  <c r="I123" i="14" s="1"/>
  <c r="K123" i="14" s="1"/>
  <c r="M123" i="14" s="1"/>
  <c r="N123" i="14" s="1"/>
  <c r="O123" i="14" s="1"/>
  <c r="P123" i="14" s="1"/>
  <c r="A126" i="14"/>
  <c r="B125" i="14"/>
  <c r="L125" i="14"/>
  <c r="D124" i="14"/>
  <c r="F124" i="14"/>
  <c r="E124" i="14"/>
  <c r="B18" i="2"/>
  <c r="B20" i="2" s="1"/>
  <c r="G124" i="14" l="1"/>
  <c r="H124" i="14" s="1"/>
  <c r="I124" i="14" s="1"/>
  <c r="K124" i="14" s="1"/>
  <c r="M124" i="14" s="1"/>
  <c r="N124" i="14" s="1"/>
  <c r="O124" i="14" s="1"/>
  <c r="P124" i="14" s="1"/>
  <c r="D125" i="14"/>
  <c r="F125" i="14"/>
  <c r="E125" i="14"/>
  <c r="A127" i="14"/>
  <c r="B126" i="14"/>
  <c r="L126" i="14"/>
  <c r="B75" i="1"/>
  <c r="B19" i="2"/>
  <c r="B76" i="1"/>
  <c r="C11" i="5"/>
  <c r="B11" i="5"/>
  <c r="C11" i="4"/>
  <c r="B11" i="4"/>
  <c r="G125" i="14" l="1"/>
  <c r="H125" i="14" s="1"/>
  <c r="I125" i="14" s="1"/>
  <c r="K125" i="14" s="1"/>
  <c r="M125" i="14" s="1"/>
  <c r="N125" i="14" s="1"/>
  <c r="O125" i="14" s="1"/>
  <c r="P125" i="14" s="1"/>
  <c r="A128" i="14"/>
  <c r="B127" i="14"/>
  <c r="L127" i="14"/>
  <c r="D126" i="14"/>
  <c r="F126" i="14"/>
  <c r="E126" i="14"/>
  <c r="B74" i="1"/>
  <c r="B18" i="4"/>
  <c r="B19" i="5"/>
  <c r="B20" i="5"/>
  <c r="B17" i="5"/>
  <c r="B18" i="5"/>
  <c r="B20" i="4"/>
  <c r="B17" i="4"/>
  <c r="B19" i="4"/>
  <c r="G126" i="14" l="1"/>
  <c r="H126" i="14" s="1"/>
  <c r="I126" i="14" s="1"/>
  <c r="K126" i="14" s="1"/>
  <c r="M126" i="14" s="1"/>
  <c r="N126" i="14" s="1"/>
  <c r="O126" i="14" s="1"/>
  <c r="P126" i="14" s="1"/>
  <c r="D127" i="14"/>
  <c r="F127" i="14"/>
  <c r="E127" i="14"/>
  <c r="A129" i="14"/>
  <c r="B128" i="14"/>
  <c r="L128" i="14"/>
  <c r="B22" i="4"/>
  <c r="B22" i="5"/>
  <c r="B36" i="1" s="1"/>
  <c r="G127" i="14" l="1"/>
  <c r="H127" i="14" s="1"/>
  <c r="I127" i="14" s="1"/>
  <c r="K127" i="14" s="1"/>
  <c r="M127" i="14" s="1"/>
  <c r="N127" i="14" s="1"/>
  <c r="O127" i="14" s="1"/>
  <c r="P127" i="14" s="1"/>
  <c r="A130" i="14"/>
  <c r="B129" i="14"/>
  <c r="L129" i="14"/>
  <c r="D128" i="14"/>
  <c r="F128" i="14"/>
  <c r="E128" i="14"/>
  <c r="B35" i="1"/>
  <c r="G128" i="14" l="1"/>
  <c r="H128" i="14" s="1"/>
  <c r="I128" i="14" s="1"/>
  <c r="K128" i="14" s="1"/>
  <c r="M128" i="14" s="1"/>
  <c r="N128" i="14" s="1"/>
  <c r="O128" i="14" s="1"/>
  <c r="P128" i="14" s="1"/>
  <c r="D129" i="14"/>
  <c r="E129" i="14"/>
  <c r="F129" i="14"/>
  <c r="A131" i="14"/>
  <c r="B130" i="14"/>
  <c r="L130" i="14"/>
  <c r="B22" i="6"/>
  <c r="B58" i="6" s="1"/>
  <c r="B75" i="6" s="1"/>
  <c r="B63" i="6"/>
  <c r="B69" i="1"/>
  <c r="G129" i="14" l="1"/>
  <c r="H129" i="14" s="1"/>
  <c r="I129" i="14" s="1"/>
  <c r="K129" i="14" s="1"/>
  <c r="M129" i="14" s="1"/>
  <c r="N129" i="14" s="1"/>
  <c r="O129" i="14" s="1"/>
  <c r="P129" i="14" s="1"/>
  <c r="D130" i="14"/>
  <c r="E130" i="14"/>
  <c r="F130" i="14"/>
  <c r="A132" i="14"/>
  <c r="B131" i="14"/>
  <c r="L131" i="14"/>
  <c r="AB97" i="6"/>
  <c r="AB101" i="6"/>
  <c r="AB105" i="6"/>
  <c r="AB109" i="6"/>
  <c r="AB113" i="6"/>
  <c r="AB117" i="6"/>
  <c r="AB121" i="6"/>
  <c r="AB125" i="6"/>
  <c r="AB129" i="6"/>
  <c r="AB133" i="6"/>
  <c r="AB137" i="6"/>
  <c r="AB141" i="6"/>
  <c r="AB145" i="6"/>
  <c r="AB149" i="6"/>
  <c r="AB153" i="6"/>
  <c r="AB157" i="6"/>
  <c r="AB161" i="6"/>
  <c r="AB165" i="6"/>
  <c r="AB169" i="6"/>
  <c r="AB173" i="6"/>
  <c r="AB177" i="6"/>
  <c r="AB181" i="6"/>
  <c r="AB185" i="6"/>
  <c r="AB189" i="6"/>
  <c r="AB193" i="6"/>
  <c r="AB197" i="6"/>
  <c r="AB201" i="6"/>
  <c r="AB205" i="6"/>
  <c r="AB209" i="6"/>
  <c r="AB213" i="6"/>
  <c r="AB217" i="6"/>
  <c r="AB221" i="6"/>
  <c r="AB206" i="6"/>
  <c r="AB218" i="6"/>
  <c r="AB98" i="6"/>
  <c r="AB102" i="6"/>
  <c r="AB106" i="6"/>
  <c r="AB110" i="6"/>
  <c r="AB114" i="6"/>
  <c r="AB118" i="6"/>
  <c r="AB122" i="6"/>
  <c r="AB126" i="6"/>
  <c r="AB130" i="6"/>
  <c r="AB134" i="6"/>
  <c r="AB138" i="6"/>
  <c r="AB142" i="6"/>
  <c r="AB146" i="6"/>
  <c r="AB150" i="6"/>
  <c r="AB154" i="6"/>
  <c r="AB158" i="6"/>
  <c r="AB162" i="6"/>
  <c r="AB166" i="6"/>
  <c r="AB170" i="6"/>
  <c r="AB174" i="6"/>
  <c r="AB178" i="6"/>
  <c r="AB182" i="6"/>
  <c r="AB186" i="6"/>
  <c r="AB190" i="6"/>
  <c r="AB194" i="6"/>
  <c r="AB198" i="6"/>
  <c r="AB202" i="6"/>
  <c r="AB210" i="6"/>
  <c r="AB214" i="6"/>
  <c r="AB95" i="6"/>
  <c r="AB99" i="6"/>
  <c r="AB103" i="6"/>
  <c r="AB107" i="6"/>
  <c r="AB111" i="6"/>
  <c r="AB115" i="6"/>
  <c r="AB119" i="6"/>
  <c r="AB123" i="6"/>
  <c r="AB127" i="6"/>
  <c r="AB131" i="6"/>
  <c r="AB135" i="6"/>
  <c r="AB139" i="6"/>
  <c r="AB143" i="6"/>
  <c r="AB147" i="6"/>
  <c r="AB151" i="6"/>
  <c r="AB155" i="6"/>
  <c r="AB159" i="6"/>
  <c r="AB163" i="6"/>
  <c r="AB167" i="6"/>
  <c r="AB171" i="6"/>
  <c r="AB175" i="6"/>
  <c r="AB179" i="6"/>
  <c r="AB183" i="6"/>
  <c r="AB187" i="6"/>
  <c r="AB191" i="6"/>
  <c r="AB195" i="6"/>
  <c r="AB199" i="6"/>
  <c r="AB203" i="6"/>
  <c r="AB207" i="6"/>
  <c r="AB211" i="6"/>
  <c r="AB215" i="6"/>
  <c r="AB219" i="6"/>
  <c r="AB96" i="6"/>
  <c r="AB100" i="6"/>
  <c r="AB104" i="6"/>
  <c r="AB108" i="6"/>
  <c r="AB112" i="6"/>
  <c r="AB116" i="6"/>
  <c r="AB120" i="6"/>
  <c r="AB124" i="6"/>
  <c r="AB128" i="6"/>
  <c r="AB132" i="6"/>
  <c r="AB136" i="6"/>
  <c r="AB140" i="6"/>
  <c r="AB144" i="6"/>
  <c r="AB148" i="6"/>
  <c r="AB152" i="6"/>
  <c r="AB156" i="6"/>
  <c r="AB160" i="6"/>
  <c r="AB164" i="6"/>
  <c r="AB168" i="6"/>
  <c r="AB172" i="6"/>
  <c r="AB176" i="6"/>
  <c r="AB180" i="6"/>
  <c r="AB184" i="6"/>
  <c r="AB188" i="6"/>
  <c r="AB192" i="6"/>
  <c r="AB196" i="6"/>
  <c r="AB200" i="6"/>
  <c r="AB204" i="6"/>
  <c r="AB208" i="6"/>
  <c r="AB212" i="6"/>
  <c r="AB216" i="6"/>
  <c r="AB220" i="6"/>
  <c r="Q101" i="6"/>
  <c r="Q129" i="6"/>
  <c r="Q145" i="6"/>
  <c r="Q165" i="6"/>
  <c r="Q185" i="6"/>
  <c r="Q201" i="6"/>
  <c r="Q221" i="6"/>
  <c r="Q150" i="6"/>
  <c r="Q174" i="6"/>
  <c r="Q194" i="6"/>
  <c r="Q98" i="6"/>
  <c r="Q102" i="6"/>
  <c r="Q106" i="6"/>
  <c r="Q110" i="6"/>
  <c r="Q114" i="6"/>
  <c r="Q118" i="6"/>
  <c r="Q122" i="6"/>
  <c r="Q126" i="6"/>
  <c r="Q130" i="6"/>
  <c r="Q134" i="6"/>
  <c r="Q138" i="6"/>
  <c r="Q154" i="6"/>
  <c r="Q166" i="6"/>
  <c r="Q182" i="6"/>
  <c r="Q99" i="6"/>
  <c r="Q103" i="6"/>
  <c r="Q107" i="6"/>
  <c r="Q111" i="6"/>
  <c r="Q115" i="6"/>
  <c r="Q119" i="6"/>
  <c r="Q123" i="6"/>
  <c r="Q127" i="6"/>
  <c r="Q131" i="6"/>
  <c r="Q135" i="6"/>
  <c r="Q139" i="6"/>
  <c r="Q143" i="6"/>
  <c r="Q147" i="6"/>
  <c r="Q151" i="6"/>
  <c r="Q155" i="6"/>
  <c r="Q159" i="6"/>
  <c r="Q163" i="6"/>
  <c r="Q167" i="6"/>
  <c r="Q171" i="6"/>
  <c r="Q175" i="6"/>
  <c r="Q179" i="6"/>
  <c r="Q183" i="6"/>
  <c r="Q187" i="6"/>
  <c r="Q191" i="6"/>
  <c r="Q195" i="6"/>
  <c r="Q199" i="6"/>
  <c r="Q203" i="6"/>
  <c r="Q207" i="6"/>
  <c r="Q211" i="6"/>
  <c r="Q215" i="6"/>
  <c r="Q219" i="6"/>
  <c r="Q97" i="6"/>
  <c r="Q109" i="6"/>
  <c r="Q117" i="6"/>
  <c r="Q125" i="6"/>
  <c r="Q137" i="6"/>
  <c r="Q149" i="6"/>
  <c r="Q161" i="6"/>
  <c r="Q173" i="6"/>
  <c r="Q181" i="6"/>
  <c r="Q193" i="6"/>
  <c r="Q209" i="6"/>
  <c r="Q213" i="6"/>
  <c r="Q146" i="6"/>
  <c r="Q162" i="6"/>
  <c r="Q178" i="6"/>
  <c r="Q190" i="6"/>
  <c r="Q96" i="6"/>
  <c r="Q100" i="6"/>
  <c r="Q104" i="6"/>
  <c r="Q108" i="6"/>
  <c r="Q112" i="6"/>
  <c r="Q116" i="6"/>
  <c r="Q120" i="6"/>
  <c r="Q124" i="6"/>
  <c r="Q128" i="6"/>
  <c r="Q132" i="6"/>
  <c r="Q136" i="6"/>
  <c r="Q140" i="6"/>
  <c r="Q144" i="6"/>
  <c r="Q148" i="6"/>
  <c r="Q152" i="6"/>
  <c r="Q156" i="6"/>
  <c r="Q160" i="6"/>
  <c r="Q164" i="6"/>
  <c r="Q168" i="6"/>
  <c r="Q172" i="6"/>
  <c r="Q176" i="6"/>
  <c r="Q180" i="6"/>
  <c r="Q184" i="6"/>
  <c r="Q188" i="6"/>
  <c r="Q192" i="6"/>
  <c r="Q196" i="6"/>
  <c r="Q200" i="6"/>
  <c r="Q204" i="6"/>
  <c r="Q208" i="6"/>
  <c r="Q212" i="6"/>
  <c r="Q216" i="6"/>
  <c r="Q220" i="6"/>
  <c r="Q105" i="6"/>
  <c r="Q113" i="6"/>
  <c r="Q121" i="6"/>
  <c r="Q133" i="6"/>
  <c r="Q141" i="6"/>
  <c r="Q153" i="6"/>
  <c r="Q157" i="6"/>
  <c r="Q169" i="6"/>
  <c r="Q177" i="6"/>
  <c r="Q189" i="6"/>
  <c r="Q197" i="6"/>
  <c r="Q205" i="6"/>
  <c r="Q217" i="6"/>
  <c r="Q142" i="6"/>
  <c r="Q158" i="6"/>
  <c r="Q170" i="6"/>
  <c r="Q186" i="6"/>
  <c r="Q198" i="6"/>
  <c r="Q214" i="6"/>
  <c r="Q95" i="6"/>
  <c r="Q210" i="6"/>
  <c r="Q202" i="6"/>
  <c r="Q218" i="6"/>
  <c r="Q206" i="6"/>
  <c r="B57" i="6"/>
  <c r="B74" i="6" s="1"/>
  <c r="D135" i="6" s="1"/>
  <c r="B56" i="6"/>
  <c r="B73" i="6" s="1"/>
  <c r="E117" i="6" s="1"/>
  <c r="B45" i="1"/>
  <c r="D21" i="1"/>
  <c r="B63" i="1" s="1"/>
  <c r="G130" i="14" l="1"/>
  <c r="H130" i="14" s="1"/>
  <c r="I130" i="14" s="1"/>
  <c r="K130" i="14" s="1"/>
  <c r="M130" i="14" s="1"/>
  <c r="N130" i="14" s="1"/>
  <c r="O130" i="14" s="1"/>
  <c r="P130" i="14" s="1"/>
  <c r="D131" i="14"/>
  <c r="F131" i="14"/>
  <c r="E131" i="14"/>
  <c r="A133" i="14"/>
  <c r="B132" i="14"/>
  <c r="L132" i="14"/>
  <c r="D215" i="6"/>
  <c r="D182" i="6"/>
  <c r="E212" i="6"/>
  <c r="D112" i="6"/>
  <c r="D199" i="6"/>
  <c r="D150" i="6"/>
  <c r="E221" i="6"/>
  <c r="E194" i="6"/>
  <c r="D207" i="6"/>
  <c r="D166" i="6"/>
  <c r="D111" i="6"/>
  <c r="E202" i="6"/>
  <c r="D191" i="6"/>
  <c r="D99" i="6"/>
  <c r="E214" i="6"/>
  <c r="E192" i="6"/>
  <c r="D214" i="6"/>
  <c r="D206" i="6"/>
  <c r="D198" i="6"/>
  <c r="D190" i="6"/>
  <c r="D178" i="6"/>
  <c r="D162" i="6"/>
  <c r="D146" i="6"/>
  <c r="D137" i="6"/>
  <c r="D117" i="6"/>
  <c r="F117" i="6" s="1"/>
  <c r="D124" i="6"/>
  <c r="E206" i="6"/>
  <c r="E184" i="6"/>
  <c r="D219" i="6"/>
  <c r="D211" i="6"/>
  <c r="D203" i="6"/>
  <c r="D195" i="6"/>
  <c r="D187" i="6"/>
  <c r="D174" i="6"/>
  <c r="D158" i="6"/>
  <c r="D142" i="6"/>
  <c r="D107" i="6"/>
  <c r="D101" i="6"/>
  <c r="E182" i="6"/>
  <c r="D218" i="6"/>
  <c r="D210" i="6"/>
  <c r="D202" i="6"/>
  <c r="D194" i="6"/>
  <c r="D186" i="6"/>
  <c r="D170" i="6"/>
  <c r="D154" i="6"/>
  <c r="D131" i="6"/>
  <c r="D115" i="6"/>
  <c r="D138" i="6"/>
  <c r="D221" i="6"/>
  <c r="D217" i="6"/>
  <c r="D213" i="6"/>
  <c r="D209" i="6"/>
  <c r="D205" i="6"/>
  <c r="D201" i="6"/>
  <c r="D197" i="6"/>
  <c r="D193" i="6"/>
  <c r="D189" i="6"/>
  <c r="D185" i="6"/>
  <c r="D181" i="6"/>
  <c r="D177" i="6"/>
  <c r="D173" i="6"/>
  <c r="D169" i="6"/>
  <c r="D165" i="6"/>
  <c r="D161" i="6"/>
  <c r="D157" i="6"/>
  <c r="D153" i="6"/>
  <c r="D149" i="6"/>
  <c r="D145" i="6"/>
  <c r="D132" i="6"/>
  <c r="D140" i="6"/>
  <c r="D97" i="6"/>
  <c r="D102" i="6"/>
  <c r="D106" i="6"/>
  <c r="D119" i="6"/>
  <c r="D134" i="6"/>
  <c r="D125" i="6"/>
  <c r="D114" i="6"/>
  <c r="D95" i="6"/>
  <c r="D108" i="6"/>
  <c r="D128" i="6"/>
  <c r="E218" i="6"/>
  <c r="E210" i="6"/>
  <c r="E200" i="6"/>
  <c r="E190" i="6"/>
  <c r="E176" i="6"/>
  <c r="D220" i="6"/>
  <c r="D216" i="6"/>
  <c r="D212" i="6"/>
  <c r="D208" i="6"/>
  <c r="D204" i="6"/>
  <c r="D200" i="6"/>
  <c r="D196" i="6"/>
  <c r="D192" i="6"/>
  <c r="D188" i="6"/>
  <c r="D184" i="6"/>
  <c r="D180" i="6"/>
  <c r="D176" i="6"/>
  <c r="D172" i="6"/>
  <c r="D168" i="6"/>
  <c r="D164" i="6"/>
  <c r="D160" i="6"/>
  <c r="D156" i="6"/>
  <c r="D152" i="6"/>
  <c r="D148" i="6"/>
  <c r="D144" i="6"/>
  <c r="D141" i="6"/>
  <c r="D139" i="6"/>
  <c r="D113" i="6"/>
  <c r="D100" i="6"/>
  <c r="D105" i="6"/>
  <c r="D123" i="6"/>
  <c r="D98" i="6"/>
  <c r="D129" i="6"/>
  <c r="D122" i="6"/>
  <c r="D110" i="6"/>
  <c r="D116" i="6"/>
  <c r="D136" i="6"/>
  <c r="E216" i="6"/>
  <c r="E208" i="6"/>
  <c r="E198" i="6"/>
  <c r="E186" i="6"/>
  <c r="E166" i="6"/>
  <c r="D183" i="6"/>
  <c r="D179" i="6"/>
  <c r="D175" i="6"/>
  <c r="D171" i="6"/>
  <c r="D167" i="6"/>
  <c r="D163" i="6"/>
  <c r="D159" i="6"/>
  <c r="D155" i="6"/>
  <c r="D151" i="6"/>
  <c r="D147" i="6"/>
  <c r="D143" i="6"/>
  <c r="D133" i="6"/>
  <c r="D118" i="6"/>
  <c r="D121" i="6"/>
  <c r="D126" i="6"/>
  <c r="D104" i="6"/>
  <c r="D127" i="6"/>
  <c r="D96" i="6"/>
  <c r="D103" i="6"/>
  <c r="D130" i="6"/>
  <c r="D109" i="6"/>
  <c r="D120" i="6"/>
  <c r="E154" i="6"/>
  <c r="E170" i="6"/>
  <c r="E178" i="6"/>
  <c r="E168" i="6"/>
  <c r="E152" i="6"/>
  <c r="E174" i="6"/>
  <c r="E160" i="6"/>
  <c r="E204" i="6"/>
  <c r="E196" i="6"/>
  <c r="E188" i="6"/>
  <c r="E180" i="6"/>
  <c r="E172" i="6"/>
  <c r="E162" i="6"/>
  <c r="S162" i="6" s="1"/>
  <c r="AC162" i="6" s="1"/>
  <c r="E141" i="6"/>
  <c r="E158" i="6"/>
  <c r="E99" i="6"/>
  <c r="E150" i="6"/>
  <c r="E164" i="6"/>
  <c r="E156" i="6"/>
  <c r="E146" i="6"/>
  <c r="E142" i="6"/>
  <c r="E100" i="6"/>
  <c r="E148" i="6"/>
  <c r="E131" i="6"/>
  <c r="E127" i="6"/>
  <c r="E144" i="6"/>
  <c r="E107" i="6"/>
  <c r="E96" i="6"/>
  <c r="F96" i="6" s="1"/>
  <c r="E137" i="6"/>
  <c r="E103" i="6"/>
  <c r="E120" i="6"/>
  <c r="E98" i="6"/>
  <c r="E108" i="6"/>
  <c r="E115" i="6"/>
  <c r="E126" i="6"/>
  <c r="E118" i="6"/>
  <c r="E220" i="6"/>
  <c r="E217" i="6"/>
  <c r="E213" i="6"/>
  <c r="E209" i="6"/>
  <c r="E205" i="6"/>
  <c r="E201" i="6"/>
  <c r="E197" i="6"/>
  <c r="E193" i="6"/>
  <c r="E189" i="6"/>
  <c r="E185" i="6"/>
  <c r="E181" i="6"/>
  <c r="E177" i="6"/>
  <c r="E173" i="6"/>
  <c r="E169" i="6"/>
  <c r="E165" i="6"/>
  <c r="E161" i="6"/>
  <c r="E157" i="6"/>
  <c r="E153" i="6"/>
  <c r="E149" i="6"/>
  <c r="E145" i="6"/>
  <c r="E132" i="6"/>
  <c r="E140" i="6"/>
  <c r="E136" i="6"/>
  <c r="E122" i="6"/>
  <c r="E123" i="6"/>
  <c r="E125" i="6"/>
  <c r="E128" i="6"/>
  <c r="E97" i="6"/>
  <c r="E219" i="6"/>
  <c r="E215" i="6"/>
  <c r="E211" i="6"/>
  <c r="E207" i="6"/>
  <c r="E203" i="6"/>
  <c r="E199" i="6"/>
  <c r="E195" i="6"/>
  <c r="S195" i="6" s="1"/>
  <c r="AC195" i="6" s="1"/>
  <c r="E191" i="6"/>
  <c r="E187" i="6"/>
  <c r="E183" i="6"/>
  <c r="E179" i="6"/>
  <c r="E175" i="6"/>
  <c r="E171" i="6"/>
  <c r="E167" i="6"/>
  <c r="E163" i="6"/>
  <c r="E159" i="6"/>
  <c r="E155" i="6"/>
  <c r="E151" i="6"/>
  <c r="E147" i="6"/>
  <c r="E143" i="6"/>
  <c r="E133" i="6"/>
  <c r="E134" i="6"/>
  <c r="E104" i="6"/>
  <c r="E112" i="6"/>
  <c r="E138" i="6"/>
  <c r="E116" i="6"/>
  <c r="E139" i="6"/>
  <c r="F139" i="6" s="1"/>
  <c r="E113" i="6"/>
  <c r="S113" i="6" s="1"/>
  <c r="AC113" i="6" s="1"/>
  <c r="E114" i="6"/>
  <c r="S114" i="6" s="1"/>
  <c r="AC114" i="6" s="1"/>
  <c r="E130" i="6"/>
  <c r="F130" i="6" s="1"/>
  <c r="E101" i="6"/>
  <c r="E110" i="6"/>
  <c r="E111" i="6"/>
  <c r="E105" i="6"/>
  <c r="E135" i="6"/>
  <c r="S135" i="6" s="1"/>
  <c r="AC135" i="6" s="1"/>
  <c r="E106" i="6"/>
  <c r="D61" i="7"/>
  <c r="E102" i="6"/>
  <c r="E124" i="6"/>
  <c r="E95" i="6"/>
  <c r="E129" i="6"/>
  <c r="S129" i="6" s="1"/>
  <c r="AC129" i="6" s="1"/>
  <c r="E119" i="6"/>
  <c r="F119" i="6" s="1"/>
  <c r="E109" i="6"/>
  <c r="E121" i="6"/>
  <c r="B44" i="1"/>
  <c r="B25" i="6"/>
  <c r="B64" i="1"/>
  <c r="S98" i="6" l="1"/>
  <c r="AC98" i="6" s="1"/>
  <c r="F191" i="6"/>
  <c r="F145" i="6"/>
  <c r="S177" i="6"/>
  <c r="AC177" i="6" s="1"/>
  <c r="F209" i="6"/>
  <c r="S149" i="6"/>
  <c r="AC149" i="6" s="1"/>
  <c r="S181" i="6"/>
  <c r="AC181" i="6" s="1"/>
  <c r="F213" i="6"/>
  <c r="F188" i="6"/>
  <c r="F176" i="6"/>
  <c r="F153" i="6"/>
  <c r="F185" i="6"/>
  <c r="F217" i="6"/>
  <c r="F141" i="6"/>
  <c r="F157" i="6"/>
  <c r="F105" i="6"/>
  <c r="S140" i="6"/>
  <c r="AC140" i="6" s="1"/>
  <c r="S169" i="6"/>
  <c r="AC169" i="6" s="1"/>
  <c r="F201" i="6"/>
  <c r="F165" i="6"/>
  <c r="F197" i="6"/>
  <c r="S121" i="6"/>
  <c r="AC121" i="6" s="1"/>
  <c r="F207" i="6"/>
  <c r="S161" i="6"/>
  <c r="AC161" i="6" s="1"/>
  <c r="S193" i="6"/>
  <c r="AC193" i="6" s="1"/>
  <c r="F132" i="6"/>
  <c r="F173" i="6"/>
  <c r="S205" i="6"/>
  <c r="AC205" i="6" s="1"/>
  <c r="S150" i="6"/>
  <c r="AC150" i="6" s="1"/>
  <c r="F154" i="6"/>
  <c r="G131" i="14"/>
  <c r="H131" i="14" s="1"/>
  <c r="I131" i="14" s="1"/>
  <c r="K131" i="14" s="1"/>
  <c r="M131" i="14" s="1"/>
  <c r="N131" i="14" s="1"/>
  <c r="O131" i="14" s="1"/>
  <c r="P131" i="14" s="1"/>
  <c r="S188" i="6"/>
  <c r="AC188" i="6" s="1"/>
  <c r="D132" i="14"/>
  <c r="F132" i="14"/>
  <c r="E132" i="14"/>
  <c r="A134" i="14"/>
  <c r="B133" i="14"/>
  <c r="L133" i="14"/>
  <c r="S176" i="6"/>
  <c r="AC176" i="6" s="1"/>
  <c r="F184" i="6"/>
  <c r="S104" i="6"/>
  <c r="AC104" i="6" s="1"/>
  <c r="S156" i="6"/>
  <c r="AC156" i="6" s="1"/>
  <c r="F158" i="6"/>
  <c r="S99" i="6"/>
  <c r="AC99" i="6" s="1"/>
  <c r="S117" i="6"/>
  <c r="AC117" i="6" s="1"/>
  <c r="F214" i="6"/>
  <c r="S138" i="6"/>
  <c r="AC138" i="6" s="1"/>
  <c r="F187" i="6"/>
  <c r="F219" i="6"/>
  <c r="S166" i="6"/>
  <c r="AC166" i="6" s="1"/>
  <c r="F189" i="6"/>
  <c r="S106" i="6"/>
  <c r="AC106" i="6" s="1"/>
  <c r="S210" i="6"/>
  <c r="AC210" i="6" s="1"/>
  <c r="F182" i="6"/>
  <c r="F143" i="6"/>
  <c r="F159" i="6"/>
  <c r="F175" i="6"/>
  <c r="F198" i="6"/>
  <c r="S221" i="6"/>
  <c r="AC221" i="6" s="1"/>
  <c r="F170" i="6"/>
  <c r="S154" i="6"/>
  <c r="AC154" i="6" s="1"/>
  <c r="F210" i="6"/>
  <c r="F124" i="6"/>
  <c r="F101" i="6"/>
  <c r="S211" i="6"/>
  <c r="AC211" i="6" s="1"/>
  <c r="F107" i="6"/>
  <c r="F199" i="6"/>
  <c r="F215" i="6"/>
  <c r="S174" i="6"/>
  <c r="AC174" i="6" s="1"/>
  <c r="F166" i="6"/>
  <c r="S182" i="6"/>
  <c r="AC182" i="6" s="1"/>
  <c r="S206" i="6"/>
  <c r="AC206" i="6" s="1"/>
  <c r="S214" i="6"/>
  <c r="AC214" i="6" s="1"/>
  <c r="S202" i="6"/>
  <c r="AC202" i="6" s="1"/>
  <c r="F221" i="6"/>
  <c r="F206" i="6"/>
  <c r="S111" i="6"/>
  <c r="AC111" i="6" s="1"/>
  <c r="F136" i="6"/>
  <c r="F178" i="6"/>
  <c r="S126" i="6"/>
  <c r="AC126" i="6" s="1"/>
  <c r="F160" i="6"/>
  <c r="S208" i="6"/>
  <c r="AC208" i="6" s="1"/>
  <c r="F186" i="6"/>
  <c r="F218" i="6"/>
  <c r="F192" i="6"/>
  <c r="F202" i="6"/>
  <c r="S200" i="6"/>
  <c r="AC200" i="6" s="1"/>
  <c r="S192" i="6"/>
  <c r="AC192" i="6" s="1"/>
  <c r="S112" i="6"/>
  <c r="AC112" i="6" s="1"/>
  <c r="S212" i="6"/>
  <c r="AC212" i="6" s="1"/>
  <c r="S141" i="6"/>
  <c r="AC141" i="6" s="1"/>
  <c r="S218" i="6"/>
  <c r="AC218" i="6" s="1"/>
  <c r="F103" i="6"/>
  <c r="S144" i="6"/>
  <c r="AC144" i="6" s="1"/>
  <c r="F100" i="6"/>
  <c r="F174" i="6"/>
  <c r="S170" i="6"/>
  <c r="AC170" i="6" s="1"/>
  <c r="S216" i="6"/>
  <c r="AC216" i="6" s="1"/>
  <c r="F190" i="6"/>
  <c r="S194" i="6"/>
  <c r="AC194" i="6" s="1"/>
  <c r="F194" i="6"/>
  <c r="S160" i="6"/>
  <c r="AC160" i="6" s="1"/>
  <c r="S184" i="6"/>
  <c r="AC184" i="6" s="1"/>
  <c r="F216" i="6"/>
  <c r="F200" i="6"/>
  <c r="F134" i="6"/>
  <c r="F167" i="6"/>
  <c r="F115" i="6"/>
  <c r="F208" i="6"/>
  <c r="F133" i="6"/>
  <c r="S155" i="6"/>
  <c r="AC155" i="6" s="1"/>
  <c r="S171" i="6"/>
  <c r="AC171" i="6" s="1"/>
  <c r="S203" i="6"/>
  <c r="AC203" i="6" s="1"/>
  <c r="F123" i="6"/>
  <c r="S220" i="6"/>
  <c r="AC220" i="6" s="1"/>
  <c r="F108" i="6"/>
  <c r="F137" i="6"/>
  <c r="S127" i="6"/>
  <c r="AC127" i="6" s="1"/>
  <c r="S142" i="6"/>
  <c r="AC142" i="6" s="1"/>
  <c r="S152" i="6"/>
  <c r="AC152" i="6" s="1"/>
  <c r="S178" i="6"/>
  <c r="AC178" i="6" s="1"/>
  <c r="S186" i="6"/>
  <c r="AC186" i="6" s="1"/>
  <c r="S107" i="6"/>
  <c r="AC107" i="6" s="1"/>
  <c r="F151" i="6"/>
  <c r="F183" i="6"/>
  <c r="F156" i="6"/>
  <c r="S158" i="6"/>
  <c r="AC158" i="6" s="1"/>
  <c r="S109" i="6"/>
  <c r="AC109" i="6" s="1"/>
  <c r="S95" i="6"/>
  <c r="AC95" i="6" s="1"/>
  <c r="S110" i="6"/>
  <c r="AC110" i="6" s="1"/>
  <c r="S97" i="6"/>
  <c r="AC97" i="6" s="1"/>
  <c r="S122" i="6"/>
  <c r="AC122" i="6" s="1"/>
  <c r="S118" i="6"/>
  <c r="AC118" i="6" s="1"/>
  <c r="S131" i="6"/>
  <c r="AC131" i="6" s="1"/>
  <c r="S146" i="6"/>
  <c r="AC146" i="6" s="1"/>
  <c r="S172" i="6"/>
  <c r="AC172" i="6" s="1"/>
  <c r="S204" i="6"/>
  <c r="AC204" i="6" s="1"/>
  <c r="F168" i="6"/>
  <c r="S198" i="6"/>
  <c r="AC198" i="6" s="1"/>
  <c r="S190" i="6"/>
  <c r="AC190" i="6" s="1"/>
  <c r="F212" i="6"/>
  <c r="F147" i="6"/>
  <c r="S163" i="6"/>
  <c r="AC163" i="6" s="1"/>
  <c r="S179" i="6"/>
  <c r="AC179" i="6" s="1"/>
  <c r="S128" i="6"/>
  <c r="AC128" i="6" s="1"/>
  <c r="F120" i="6"/>
  <c r="S148" i="6"/>
  <c r="AC148" i="6" s="1"/>
  <c r="F180" i="6"/>
  <c r="F102" i="6"/>
  <c r="S116" i="6"/>
  <c r="AC116" i="6" s="1"/>
  <c r="F125" i="6"/>
  <c r="F164" i="6"/>
  <c r="F196" i="6"/>
  <c r="F161" i="6"/>
  <c r="S168" i="6"/>
  <c r="AC168" i="6" s="1"/>
  <c r="F131" i="6"/>
  <c r="F172" i="6"/>
  <c r="F99" i="6"/>
  <c r="S196" i="6"/>
  <c r="AC196" i="6" s="1"/>
  <c r="S96" i="6"/>
  <c r="AC96" i="6" s="1"/>
  <c r="F150" i="6"/>
  <c r="F204" i="6"/>
  <c r="F162" i="6"/>
  <c r="S180" i="6"/>
  <c r="AC180" i="6" s="1"/>
  <c r="F169" i="6"/>
  <c r="S134" i="6"/>
  <c r="AC134" i="6" s="1"/>
  <c r="S201" i="6"/>
  <c r="AC201" i="6" s="1"/>
  <c r="F152" i="6"/>
  <c r="S153" i="6"/>
  <c r="AC153" i="6" s="1"/>
  <c r="F148" i="6"/>
  <c r="S120" i="6"/>
  <c r="AC120" i="6" s="1"/>
  <c r="S100" i="6"/>
  <c r="AC100" i="6" s="1"/>
  <c r="F140" i="6"/>
  <c r="S185" i="6"/>
  <c r="AC185" i="6" s="1"/>
  <c r="S183" i="6"/>
  <c r="AC183" i="6" s="1"/>
  <c r="S164" i="6"/>
  <c r="AC164" i="6" s="1"/>
  <c r="S215" i="6"/>
  <c r="AC215" i="6" s="1"/>
  <c r="F114" i="6"/>
  <c r="S217" i="6"/>
  <c r="AC217" i="6" s="1"/>
  <c r="F146" i="6"/>
  <c r="F127" i="6"/>
  <c r="F142" i="6"/>
  <c r="S159" i="6"/>
  <c r="AC159" i="6" s="1"/>
  <c r="F95" i="6"/>
  <c r="F106" i="6"/>
  <c r="F116" i="6"/>
  <c r="S115" i="6"/>
  <c r="AC115" i="6" s="1"/>
  <c r="S103" i="6"/>
  <c r="AC103" i="6" s="1"/>
  <c r="S167" i="6"/>
  <c r="AC167" i="6" s="1"/>
  <c r="S199" i="6"/>
  <c r="AC199" i="6" s="1"/>
  <c r="F144" i="6"/>
  <c r="S151" i="6"/>
  <c r="AC151" i="6" s="1"/>
  <c r="S125" i="6"/>
  <c r="AC125" i="6" s="1"/>
  <c r="F98" i="6"/>
  <c r="S143" i="6"/>
  <c r="AC143" i="6" s="1"/>
  <c r="S207" i="6"/>
  <c r="AC207" i="6" s="1"/>
  <c r="S145" i="6"/>
  <c r="AC145" i="6" s="1"/>
  <c r="S191" i="6"/>
  <c r="AC191" i="6" s="1"/>
  <c r="S175" i="6"/>
  <c r="AC175" i="6" s="1"/>
  <c r="F122" i="6"/>
  <c r="S137" i="6"/>
  <c r="AC137" i="6" s="1"/>
  <c r="F111" i="6"/>
  <c r="S132" i="6"/>
  <c r="AC132" i="6" s="1"/>
  <c r="S157" i="6"/>
  <c r="AC157" i="6" s="1"/>
  <c r="S173" i="6"/>
  <c r="AC173" i="6" s="1"/>
  <c r="F113" i="6"/>
  <c r="S108" i="6"/>
  <c r="AC108" i="6" s="1"/>
  <c r="S123" i="6"/>
  <c r="AC123" i="6" s="1"/>
  <c r="F138" i="6"/>
  <c r="F193" i="6"/>
  <c r="F118" i="6"/>
  <c r="F110" i="6"/>
  <c r="F177" i="6"/>
  <c r="F97" i="6"/>
  <c r="S209" i="6"/>
  <c r="AC209" i="6" s="1"/>
  <c r="F112" i="6"/>
  <c r="S101" i="6"/>
  <c r="AC101" i="6" s="1"/>
  <c r="F126" i="6"/>
  <c r="S197" i="6"/>
  <c r="AC197" i="6" s="1"/>
  <c r="S136" i="6"/>
  <c r="AC136" i="6" s="1"/>
  <c r="F179" i="6"/>
  <c r="S147" i="6"/>
  <c r="AC147" i="6" s="1"/>
  <c r="F149" i="6"/>
  <c r="F211" i="6"/>
  <c r="F181" i="6"/>
  <c r="S213" i="6"/>
  <c r="AC213" i="6" s="1"/>
  <c r="S139" i="6"/>
  <c r="AC139" i="6" s="1"/>
  <c r="F121" i="6"/>
  <c r="F163" i="6"/>
  <c r="F195" i="6"/>
  <c r="S165" i="6"/>
  <c r="AC165" i="6" s="1"/>
  <c r="F104" i="6"/>
  <c r="F128" i="6"/>
  <c r="S102" i="6"/>
  <c r="AC102" i="6" s="1"/>
  <c r="S133" i="6"/>
  <c r="AC133" i="6" s="1"/>
  <c r="F155" i="6"/>
  <c r="F171" i="6"/>
  <c r="S187" i="6"/>
  <c r="AC187" i="6" s="1"/>
  <c r="F203" i="6"/>
  <c r="S219" i="6"/>
  <c r="AC219" i="6" s="1"/>
  <c r="S189" i="6"/>
  <c r="AC189" i="6" s="1"/>
  <c r="F205" i="6"/>
  <c r="F220" i="6"/>
  <c r="F109" i="6"/>
  <c r="S130" i="6"/>
  <c r="AC130" i="6" s="1"/>
  <c r="F135" i="6"/>
  <c r="S124" i="6"/>
  <c r="AC124" i="6" s="1"/>
  <c r="S105" i="6"/>
  <c r="AC105" i="6" s="1"/>
  <c r="F129" i="6"/>
  <c r="S119" i="6"/>
  <c r="AC119" i="6" s="1"/>
  <c r="D60" i="7"/>
  <c r="D62" i="7" s="1"/>
  <c r="D71" i="7" s="1"/>
  <c r="D72" i="7"/>
  <c r="B41" i="6" s="1"/>
  <c r="B78" i="6" s="1"/>
  <c r="I106" i="6" s="1"/>
  <c r="G132" i="14" l="1"/>
  <c r="H132" i="14" s="1"/>
  <c r="I132" i="14" s="1"/>
  <c r="K132" i="14" s="1"/>
  <c r="M132" i="14" s="1"/>
  <c r="N132" i="14" s="1"/>
  <c r="O132" i="14" s="1"/>
  <c r="P132" i="14" s="1"/>
  <c r="D133" i="14"/>
  <c r="F133" i="14"/>
  <c r="E133" i="14"/>
  <c r="A135" i="14"/>
  <c r="B134" i="14"/>
  <c r="L134" i="14"/>
  <c r="B39" i="6"/>
  <c r="B83" i="6" s="1"/>
  <c r="V151" i="6"/>
  <c r="V175" i="6"/>
  <c r="V143" i="6"/>
  <c r="I206" i="6"/>
  <c r="I96" i="6"/>
  <c r="I172" i="6"/>
  <c r="V135" i="6"/>
  <c r="I135" i="6"/>
  <c r="V147" i="6"/>
  <c r="I195" i="6"/>
  <c r="V189" i="6"/>
  <c r="V183" i="6"/>
  <c r="V199" i="6"/>
  <c r="V167" i="6"/>
  <c r="V130" i="6"/>
  <c r="V109" i="6"/>
  <c r="I198" i="6"/>
  <c r="I166" i="6"/>
  <c r="V129" i="6"/>
  <c r="V114" i="6"/>
  <c r="I196" i="6"/>
  <c r="I164" i="6"/>
  <c r="I126" i="6"/>
  <c r="V101" i="6"/>
  <c r="V125" i="6"/>
  <c r="I102" i="6"/>
  <c r="V141" i="6"/>
  <c r="V179" i="6"/>
  <c r="I157" i="6"/>
  <c r="I207" i="6"/>
  <c r="I104" i="6"/>
  <c r="I174" i="6"/>
  <c r="V142" i="6"/>
  <c r="V204" i="6"/>
  <c r="I132" i="6"/>
  <c r="V113" i="6"/>
  <c r="I163" i="6"/>
  <c r="I203" i="6"/>
  <c r="V103" i="6"/>
  <c r="V220" i="6"/>
  <c r="V215" i="6"/>
  <c r="V191" i="6"/>
  <c r="V159" i="6"/>
  <c r="I120" i="6"/>
  <c r="V136" i="6"/>
  <c r="V190" i="6"/>
  <c r="V158" i="6"/>
  <c r="I119" i="6"/>
  <c r="I221" i="6"/>
  <c r="I188" i="6"/>
  <c r="V156" i="6"/>
  <c r="I124" i="6"/>
  <c r="I177" i="6"/>
  <c r="V201" i="6"/>
  <c r="V121" i="6"/>
  <c r="I171" i="6"/>
  <c r="V211" i="6"/>
  <c r="I123" i="6"/>
  <c r="V127" i="6"/>
  <c r="I215" i="6"/>
  <c r="I183" i="6"/>
  <c r="I151" i="6"/>
  <c r="V119" i="6"/>
  <c r="V214" i="6"/>
  <c r="V182" i="6"/>
  <c r="V150" i="6"/>
  <c r="V111" i="6"/>
  <c r="I212" i="6"/>
  <c r="I180" i="6"/>
  <c r="I148" i="6"/>
  <c r="V104" i="6"/>
  <c r="I185" i="6"/>
  <c r="I138" i="6"/>
  <c r="V165" i="6"/>
  <c r="V197" i="6"/>
  <c r="V134" i="6"/>
  <c r="V117" i="6"/>
  <c r="I159" i="6"/>
  <c r="I191" i="6"/>
  <c r="V221" i="6"/>
  <c r="I213" i="6"/>
  <c r="I205" i="6"/>
  <c r="I197" i="6"/>
  <c r="I189" i="6"/>
  <c r="V181" i="6"/>
  <c r="I173" i="6"/>
  <c r="I165" i="6"/>
  <c r="V157" i="6"/>
  <c r="I149" i="6"/>
  <c r="V132" i="6"/>
  <c r="V138" i="6"/>
  <c r="V120" i="6"/>
  <c r="V98" i="6"/>
  <c r="I134" i="6"/>
  <c r="V96" i="6"/>
  <c r="I220" i="6"/>
  <c r="V212" i="6"/>
  <c r="I204" i="6"/>
  <c r="V196" i="6"/>
  <c r="V188" i="6"/>
  <c r="V180" i="6"/>
  <c r="V172" i="6"/>
  <c r="V164" i="6"/>
  <c r="I156" i="6"/>
  <c r="V148" i="6"/>
  <c r="I133" i="6"/>
  <c r="I127" i="6"/>
  <c r="V115" i="6"/>
  <c r="V95" i="6"/>
  <c r="V137" i="6"/>
  <c r="I137" i="6"/>
  <c r="I218" i="6"/>
  <c r="I210" i="6"/>
  <c r="I202" i="6"/>
  <c r="V194" i="6"/>
  <c r="I186" i="6"/>
  <c r="I178" i="6"/>
  <c r="I170" i="6"/>
  <c r="V162" i="6"/>
  <c r="V154" i="6"/>
  <c r="V146" i="6"/>
  <c r="V131" i="6"/>
  <c r="I116" i="6"/>
  <c r="V123" i="6"/>
  <c r="I112" i="6"/>
  <c r="V102" i="6"/>
  <c r="V112" i="6"/>
  <c r="I209" i="6"/>
  <c r="V217" i="6"/>
  <c r="I161" i="6"/>
  <c r="V107" i="6"/>
  <c r="V116" i="6"/>
  <c r="I155" i="6"/>
  <c r="I187" i="6"/>
  <c r="V219" i="6"/>
  <c r="I114" i="6"/>
  <c r="V133" i="6"/>
  <c r="V173" i="6"/>
  <c r="V205" i="6"/>
  <c r="I110" i="6"/>
  <c r="I130" i="6"/>
  <c r="I167" i="6"/>
  <c r="I199" i="6"/>
  <c r="I219" i="6"/>
  <c r="I211" i="6"/>
  <c r="V203" i="6"/>
  <c r="V195" i="6"/>
  <c r="V187" i="6"/>
  <c r="I179" i="6"/>
  <c r="V171" i="6"/>
  <c r="V163" i="6"/>
  <c r="V155" i="6"/>
  <c r="I147" i="6"/>
  <c r="I141" i="6"/>
  <c r="V122" i="6"/>
  <c r="V124" i="6"/>
  <c r="V105" i="6"/>
  <c r="I105" i="6"/>
  <c r="I107" i="6"/>
  <c r="V218" i="6"/>
  <c r="V210" i="6"/>
  <c r="V202" i="6"/>
  <c r="I194" i="6"/>
  <c r="V186" i="6"/>
  <c r="V178" i="6"/>
  <c r="V170" i="6"/>
  <c r="I162" i="6"/>
  <c r="I154" i="6"/>
  <c r="I146" i="6"/>
  <c r="I140" i="6"/>
  <c r="I122" i="6"/>
  <c r="V128" i="6"/>
  <c r="V97" i="6"/>
  <c r="I97" i="6"/>
  <c r="I99" i="6"/>
  <c r="I216" i="6"/>
  <c r="I208" i="6"/>
  <c r="V200" i="6"/>
  <c r="V192" i="6"/>
  <c r="I184" i="6"/>
  <c r="V176" i="6"/>
  <c r="I168" i="6"/>
  <c r="I160" i="6"/>
  <c r="I152" i="6"/>
  <c r="I144" i="6"/>
  <c r="V139" i="6"/>
  <c r="I128" i="6"/>
  <c r="I115" i="6"/>
  <c r="I103" i="6"/>
  <c r="V100" i="6"/>
  <c r="I113" i="6"/>
  <c r="I125" i="6"/>
  <c r="V193" i="6"/>
  <c r="I131" i="6"/>
  <c r="V106" i="6"/>
  <c r="V149" i="6"/>
  <c r="I181" i="6"/>
  <c r="V213" i="6"/>
  <c r="I95" i="6"/>
  <c r="I143" i="6"/>
  <c r="I175" i="6"/>
  <c r="V207" i="6"/>
  <c r="I217" i="6"/>
  <c r="V209" i="6"/>
  <c r="I201" i="6"/>
  <c r="I193" i="6"/>
  <c r="V185" i="6"/>
  <c r="V177" i="6"/>
  <c r="V169" i="6"/>
  <c r="V161" i="6"/>
  <c r="V153" i="6"/>
  <c r="I145" i="6"/>
  <c r="V140" i="6"/>
  <c r="I121" i="6"/>
  <c r="V118" i="6"/>
  <c r="I98" i="6"/>
  <c r="V99" i="6"/>
  <c r="I100" i="6"/>
  <c r="V216" i="6"/>
  <c r="V208" i="6"/>
  <c r="I200" i="6"/>
  <c r="I192" i="6"/>
  <c r="V184" i="6"/>
  <c r="I176" i="6"/>
  <c r="V168" i="6"/>
  <c r="V160" i="6"/>
  <c r="V152" i="6"/>
  <c r="V144" i="6"/>
  <c r="I139" i="6"/>
  <c r="I117" i="6"/>
  <c r="V126" i="6"/>
  <c r="I111" i="6"/>
  <c r="V108" i="6"/>
  <c r="V110" i="6"/>
  <c r="I214" i="6"/>
  <c r="V206" i="6"/>
  <c r="V198" i="6"/>
  <c r="I190" i="6"/>
  <c r="I182" i="6"/>
  <c r="V174" i="6"/>
  <c r="V166" i="6"/>
  <c r="I158" i="6"/>
  <c r="I150" i="6"/>
  <c r="I142" i="6"/>
  <c r="I129" i="6"/>
  <c r="I118" i="6"/>
  <c r="I101" i="6"/>
  <c r="I109" i="6"/>
  <c r="I136" i="6"/>
  <c r="V145" i="6"/>
  <c r="I153" i="6"/>
  <c r="I108" i="6"/>
  <c r="I169" i="6"/>
  <c r="D69" i="7"/>
  <c r="D70" i="7"/>
  <c r="G133" i="14" l="1"/>
  <c r="H133" i="14" s="1"/>
  <c r="I133" i="14" s="1"/>
  <c r="K133" i="14" s="1"/>
  <c r="M133" i="14" s="1"/>
  <c r="N133" i="14" s="1"/>
  <c r="O133" i="14" s="1"/>
  <c r="P133" i="14" s="1"/>
  <c r="D134" i="14"/>
  <c r="F134" i="14"/>
  <c r="E134" i="14"/>
  <c r="A136" i="14"/>
  <c r="B135" i="14"/>
  <c r="L135" i="14"/>
  <c r="B37" i="6"/>
  <c r="B81" i="6" s="1"/>
  <c r="M201" i="6" s="1"/>
  <c r="B38" i="6"/>
  <c r="B82" i="6" s="1"/>
  <c r="L139" i="6" s="1"/>
  <c r="G134" i="14" l="1"/>
  <c r="H134" i="14" s="1"/>
  <c r="I134" i="14" s="1"/>
  <c r="K134" i="14" s="1"/>
  <c r="M134" i="14" s="1"/>
  <c r="N134" i="14" s="1"/>
  <c r="O134" i="14" s="1"/>
  <c r="P134" i="14" s="1"/>
  <c r="D135" i="14"/>
  <c r="F135" i="14"/>
  <c r="E135" i="14"/>
  <c r="A137" i="14"/>
  <c r="B136" i="14"/>
  <c r="L136" i="14"/>
  <c r="M113" i="6"/>
  <c r="M98" i="6"/>
  <c r="M119" i="6"/>
  <c r="M153" i="6"/>
  <c r="M185" i="6"/>
  <c r="M195" i="6"/>
  <c r="M103" i="6"/>
  <c r="M128" i="6"/>
  <c r="M161" i="6"/>
  <c r="M116" i="6"/>
  <c r="L135" i="6"/>
  <c r="L194" i="6"/>
  <c r="M140" i="6"/>
  <c r="M131" i="6"/>
  <c r="M169" i="6"/>
  <c r="M205" i="6"/>
  <c r="L215" i="6"/>
  <c r="L178" i="6"/>
  <c r="M135" i="6"/>
  <c r="Y135" i="6" s="1"/>
  <c r="AD135" i="6" s="1"/>
  <c r="M145" i="6"/>
  <c r="M177" i="6"/>
  <c r="M215" i="6"/>
  <c r="L175" i="6"/>
  <c r="L146" i="6"/>
  <c r="L210" i="6"/>
  <c r="L104" i="6"/>
  <c r="L120" i="6"/>
  <c r="L136" i="6"/>
  <c r="L152" i="6"/>
  <c r="L168" i="6"/>
  <c r="L184" i="6"/>
  <c r="L200" i="6"/>
  <c r="L216" i="6"/>
  <c r="L143" i="6"/>
  <c r="L97" i="6"/>
  <c r="L113" i="6"/>
  <c r="L129" i="6"/>
  <c r="L145" i="6"/>
  <c r="L161" i="6"/>
  <c r="L177" i="6"/>
  <c r="L193" i="6"/>
  <c r="L209" i="6"/>
  <c r="L111" i="6"/>
  <c r="L151" i="6"/>
  <c r="L191" i="6"/>
  <c r="L102" i="6"/>
  <c r="L118" i="6"/>
  <c r="L134" i="6"/>
  <c r="L150" i="6"/>
  <c r="L166" i="6"/>
  <c r="L182" i="6"/>
  <c r="L198" i="6"/>
  <c r="L214" i="6"/>
  <c r="L107" i="6"/>
  <c r="L147" i="6"/>
  <c r="L187" i="6"/>
  <c r="L219" i="6"/>
  <c r="L108" i="6"/>
  <c r="L124" i="6"/>
  <c r="L140" i="6"/>
  <c r="L156" i="6"/>
  <c r="L172" i="6"/>
  <c r="L188" i="6"/>
  <c r="L204" i="6"/>
  <c r="L220" i="6"/>
  <c r="L163" i="6"/>
  <c r="L101" i="6"/>
  <c r="L117" i="6"/>
  <c r="L133" i="6"/>
  <c r="L149" i="6"/>
  <c r="L165" i="6"/>
  <c r="L181" i="6"/>
  <c r="L197" i="6"/>
  <c r="L213" i="6"/>
  <c r="L119" i="6"/>
  <c r="Y119" i="6" s="1"/>
  <c r="AD119" i="6" s="1"/>
  <c r="L159" i="6"/>
  <c r="L199" i="6"/>
  <c r="L106" i="6"/>
  <c r="L122" i="6"/>
  <c r="L138" i="6"/>
  <c r="L154" i="6"/>
  <c r="L170" i="6"/>
  <c r="L186" i="6"/>
  <c r="L202" i="6"/>
  <c r="L218" i="6"/>
  <c r="L115" i="6"/>
  <c r="L155" i="6"/>
  <c r="L195" i="6"/>
  <c r="L116" i="6"/>
  <c r="L148" i="6"/>
  <c r="L180" i="6"/>
  <c r="L212" i="6"/>
  <c r="L203" i="6"/>
  <c r="L125" i="6"/>
  <c r="L157" i="6"/>
  <c r="L189" i="6"/>
  <c r="L221" i="6"/>
  <c r="L98" i="6"/>
  <c r="N98" i="6" s="1"/>
  <c r="R98" i="6" s="1"/>
  <c r="L114" i="6"/>
  <c r="L96" i="6"/>
  <c r="L112" i="6"/>
  <c r="L128" i="6"/>
  <c r="L144" i="6"/>
  <c r="L160" i="6"/>
  <c r="L176" i="6"/>
  <c r="L192" i="6"/>
  <c r="L208" i="6"/>
  <c r="L103" i="6"/>
  <c r="L183" i="6"/>
  <c r="L105" i="6"/>
  <c r="L121" i="6"/>
  <c r="L137" i="6"/>
  <c r="L153" i="6"/>
  <c r="L169" i="6"/>
  <c r="L185" i="6"/>
  <c r="L201" i="6"/>
  <c r="Y201" i="6" s="1"/>
  <c r="AD201" i="6" s="1"/>
  <c r="L217" i="6"/>
  <c r="L131" i="6"/>
  <c r="N131" i="6" s="1"/>
  <c r="R131" i="6" s="1"/>
  <c r="L171" i="6"/>
  <c r="L211" i="6"/>
  <c r="L110" i="6"/>
  <c r="L126" i="6"/>
  <c r="L142" i="6"/>
  <c r="L158" i="6"/>
  <c r="L174" i="6"/>
  <c r="L190" i="6"/>
  <c r="L206" i="6"/>
  <c r="L95" i="6"/>
  <c r="L127" i="6"/>
  <c r="L167" i="6"/>
  <c r="L207" i="6"/>
  <c r="L100" i="6"/>
  <c r="L132" i="6"/>
  <c r="L164" i="6"/>
  <c r="L196" i="6"/>
  <c r="L123" i="6"/>
  <c r="L109" i="6"/>
  <c r="L141" i="6"/>
  <c r="L173" i="6"/>
  <c r="L205" i="6"/>
  <c r="L179" i="6"/>
  <c r="L130" i="6"/>
  <c r="L99" i="6"/>
  <c r="L162" i="6"/>
  <c r="M109" i="6"/>
  <c r="M202" i="6"/>
  <c r="M194" i="6"/>
  <c r="M218" i="6"/>
  <c r="M97" i="6"/>
  <c r="M212" i="6"/>
  <c r="M182" i="6"/>
  <c r="M150" i="6"/>
  <c r="M206" i="6"/>
  <c r="M168" i="6"/>
  <c r="M118" i="6"/>
  <c r="M186" i="6"/>
  <c r="M154" i="6"/>
  <c r="M110" i="6"/>
  <c r="M193" i="6"/>
  <c r="M137" i="6"/>
  <c r="Y137" i="6" s="1"/>
  <c r="AD137" i="6" s="1"/>
  <c r="M100" i="6"/>
  <c r="M213" i="6"/>
  <c r="M203" i="6"/>
  <c r="M191" i="6"/>
  <c r="M183" i="6"/>
  <c r="N183" i="6" s="1"/>
  <c r="R183" i="6" s="1"/>
  <c r="M175" i="6"/>
  <c r="M167" i="6"/>
  <c r="M159" i="6"/>
  <c r="M151" i="6"/>
  <c r="M143" i="6"/>
  <c r="N143" i="6" s="1"/>
  <c r="R143" i="6" s="1"/>
  <c r="M139" i="6"/>
  <c r="Y139" i="6" s="1"/>
  <c r="AD139" i="6" s="1"/>
  <c r="M117" i="6"/>
  <c r="M101" i="6"/>
  <c r="M102" i="6"/>
  <c r="Y102" i="6" s="1"/>
  <c r="AD102" i="6" s="1"/>
  <c r="M129" i="6"/>
  <c r="M114" i="6"/>
  <c r="M104" i="6"/>
  <c r="M188" i="6"/>
  <c r="M180" i="6"/>
  <c r="M172" i="6"/>
  <c r="M210" i="6"/>
  <c r="M204" i="6"/>
  <c r="M174" i="6"/>
  <c r="M142" i="6"/>
  <c r="M198" i="6"/>
  <c r="M160" i="6"/>
  <c r="M216" i="6"/>
  <c r="M178" i="6"/>
  <c r="M146" i="6"/>
  <c r="M95" i="6"/>
  <c r="M220" i="6"/>
  <c r="M133" i="6"/>
  <c r="M136" i="6"/>
  <c r="M219" i="6"/>
  <c r="M211" i="6"/>
  <c r="M199" i="6"/>
  <c r="M189" i="6"/>
  <c r="M181" i="6"/>
  <c r="M173" i="6"/>
  <c r="M165" i="6"/>
  <c r="M157" i="6"/>
  <c r="M149" i="6"/>
  <c r="M141" i="6"/>
  <c r="M138" i="6"/>
  <c r="M123" i="6"/>
  <c r="M134" i="6"/>
  <c r="M99" i="6"/>
  <c r="M120" i="6"/>
  <c r="M105" i="6"/>
  <c r="M125" i="6"/>
  <c r="M121" i="6"/>
  <c r="M108" i="6"/>
  <c r="M221" i="6"/>
  <c r="M190" i="6"/>
  <c r="Y190" i="6" s="1"/>
  <c r="AD190" i="6" s="1"/>
  <c r="M158" i="6"/>
  <c r="M214" i="6"/>
  <c r="M176" i="6"/>
  <c r="Y176" i="6" s="1"/>
  <c r="AD176" i="6" s="1"/>
  <c r="M144" i="6"/>
  <c r="M162" i="6"/>
  <c r="M112" i="6"/>
  <c r="M156" i="6"/>
  <c r="M148" i="6"/>
  <c r="M130" i="6"/>
  <c r="M164" i="6"/>
  <c r="M196" i="6"/>
  <c r="M166" i="6"/>
  <c r="M107" i="6"/>
  <c r="M184" i="6"/>
  <c r="M152" i="6"/>
  <c r="M208" i="6"/>
  <c r="M170" i="6"/>
  <c r="M127" i="6"/>
  <c r="M209" i="6"/>
  <c r="M122" i="6"/>
  <c r="M96" i="6"/>
  <c r="M217" i="6"/>
  <c r="M207" i="6"/>
  <c r="M197" i="6"/>
  <c r="M187" i="6"/>
  <c r="M179" i="6"/>
  <c r="M171" i="6"/>
  <c r="M163" i="6"/>
  <c r="M155" i="6"/>
  <c r="M147" i="6"/>
  <c r="M132" i="6"/>
  <c r="M115" i="6"/>
  <c r="Y115" i="6" s="1"/>
  <c r="AD115" i="6" s="1"/>
  <c r="M124" i="6"/>
  <c r="N124" i="6" s="1"/>
  <c r="R124" i="6" s="1"/>
  <c r="M106" i="6"/>
  <c r="M192" i="6"/>
  <c r="M126" i="6"/>
  <c r="N126" i="6" s="1"/>
  <c r="R126" i="6" s="1"/>
  <c r="M111" i="6"/>
  <c r="N111" i="6" s="1"/>
  <c r="R111" i="6" s="1"/>
  <c r="M200" i="6"/>
  <c r="Y180" i="6" l="1"/>
  <c r="AD180" i="6" s="1"/>
  <c r="Y121" i="6"/>
  <c r="AD121" i="6" s="1"/>
  <c r="Y118" i="6"/>
  <c r="AD118" i="6" s="1"/>
  <c r="N148" i="6"/>
  <c r="R148" i="6" s="1"/>
  <c r="N154" i="6"/>
  <c r="R154" i="6" s="1"/>
  <c r="Y149" i="6"/>
  <c r="AD149" i="6" s="1"/>
  <c r="N173" i="6"/>
  <c r="R173" i="6" s="1"/>
  <c r="Y205" i="6"/>
  <c r="AD205" i="6" s="1"/>
  <c r="G135" i="14"/>
  <c r="H135" i="14" s="1"/>
  <c r="I135" i="14" s="1"/>
  <c r="K135" i="14" s="1"/>
  <c r="M135" i="14" s="1"/>
  <c r="N135" i="14" s="1"/>
  <c r="O135" i="14" s="1"/>
  <c r="P135" i="14" s="1"/>
  <c r="D136" i="14"/>
  <c r="F136" i="14"/>
  <c r="E136" i="14"/>
  <c r="A138" i="14"/>
  <c r="B137" i="14"/>
  <c r="L137" i="14"/>
  <c r="Y113" i="6"/>
  <c r="AD113" i="6" s="1"/>
  <c r="N185" i="6"/>
  <c r="R185" i="6" s="1"/>
  <c r="Y185" i="6"/>
  <c r="AD185" i="6" s="1"/>
  <c r="N182" i="6"/>
  <c r="R182" i="6" s="1"/>
  <c r="N135" i="6"/>
  <c r="R135" i="6" s="1"/>
  <c r="Y208" i="6"/>
  <c r="AD208" i="6" s="1"/>
  <c r="N175" i="6"/>
  <c r="R175" i="6" s="1"/>
  <c r="N169" i="6"/>
  <c r="R169" i="6" s="1"/>
  <c r="Y144" i="6"/>
  <c r="AD144" i="6" s="1"/>
  <c r="Y101" i="6"/>
  <c r="AD101" i="6" s="1"/>
  <c r="Y153" i="6"/>
  <c r="AD153" i="6" s="1"/>
  <c r="N116" i="6"/>
  <c r="R116" i="6" s="1"/>
  <c r="N145" i="6"/>
  <c r="R145" i="6" s="1"/>
  <c r="Y194" i="6"/>
  <c r="AD194" i="6" s="1"/>
  <c r="Y162" i="6"/>
  <c r="AD162" i="6" s="1"/>
  <c r="Y181" i="6"/>
  <c r="AD181" i="6" s="1"/>
  <c r="Y128" i="6"/>
  <c r="AD128" i="6" s="1"/>
  <c r="N113" i="6"/>
  <c r="R113" i="6" s="1"/>
  <c r="N146" i="6"/>
  <c r="R146" i="6" s="1"/>
  <c r="N151" i="6"/>
  <c r="R151" i="6" s="1"/>
  <c r="N179" i="6"/>
  <c r="R179" i="6" s="1"/>
  <c r="N127" i="6"/>
  <c r="R127" i="6" s="1"/>
  <c r="Y199" i="6"/>
  <c r="AD199" i="6" s="1"/>
  <c r="N215" i="6"/>
  <c r="R215" i="6" s="1"/>
  <c r="N132" i="6"/>
  <c r="R132" i="6" s="1"/>
  <c r="N176" i="6"/>
  <c r="R176" i="6" s="1"/>
  <c r="N99" i="6"/>
  <c r="R99" i="6" s="1"/>
  <c r="Y145" i="6"/>
  <c r="AD145" i="6" s="1"/>
  <c r="Y109" i="6"/>
  <c r="AD109" i="6" s="1"/>
  <c r="Y132" i="6"/>
  <c r="AD132" i="6" s="1"/>
  <c r="Y183" i="6"/>
  <c r="AD183" i="6" s="1"/>
  <c r="N221" i="6"/>
  <c r="R221" i="6" s="1"/>
  <c r="Y154" i="6"/>
  <c r="AD154" i="6" s="1"/>
  <c r="N156" i="6"/>
  <c r="R156" i="6" s="1"/>
  <c r="N152" i="6"/>
  <c r="R152" i="6" s="1"/>
  <c r="Y210" i="6"/>
  <c r="AD210" i="6" s="1"/>
  <c r="Y103" i="6"/>
  <c r="AD103" i="6" s="1"/>
  <c r="N195" i="6"/>
  <c r="R195" i="6" s="1"/>
  <c r="Y116" i="6"/>
  <c r="AD116" i="6" s="1"/>
  <c r="N153" i="6"/>
  <c r="R153" i="6" s="1"/>
  <c r="Y156" i="6"/>
  <c r="AD156" i="6" s="1"/>
  <c r="Y146" i="6"/>
  <c r="AD146" i="6" s="1"/>
  <c r="Y179" i="6"/>
  <c r="AD179" i="6" s="1"/>
  <c r="Y217" i="6"/>
  <c r="AD217" i="6" s="1"/>
  <c r="Y112" i="6"/>
  <c r="AD112" i="6" s="1"/>
  <c r="N214" i="6"/>
  <c r="R214" i="6" s="1"/>
  <c r="N199" i="6"/>
  <c r="R199" i="6" s="1"/>
  <c r="Y133" i="6"/>
  <c r="AD133" i="6" s="1"/>
  <c r="N191" i="6"/>
  <c r="R191" i="6" s="1"/>
  <c r="N150" i="6"/>
  <c r="R150" i="6" s="1"/>
  <c r="N218" i="6"/>
  <c r="R218" i="6" s="1"/>
  <c r="N140" i="6"/>
  <c r="R140" i="6" s="1"/>
  <c r="N210" i="6"/>
  <c r="R210" i="6" s="1"/>
  <c r="Y152" i="6"/>
  <c r="AD152" i="6" s="1"/>
  <c r="Y220" i="6"/>
  <c r="AD220" i="6" s="1"/>
  <c r="Y216" i="6"/>
  <c r="AD216" i="6" s="1"/>
  <c r="Y174" i="6"/>
  <c r="AD174" i="6" s="1"/>
  <c r="N129" i="6"/>
  <c r="R129" i="6" s="1"/>
  <c r="N203" i="6"/>
  <c r="R203" i="6" s="1"/>
  <c r="N193" i="6"/>
  <c r="R193" i="6" s="1"/>
  <c r="Y161" i="6"/>
  <c r="AD161" i="6" s="1"/>
  <c r="Y197" i="6"/>
  <c r="AD197" i="6" s="1"/>
  <c r="N219" i="6"/>
  <c r="R219" i="6" s="1"/>
  <c r="Y110" i="6"/>
  <c r="AD110" i="6" s="1"/>
  <c r="N105" i="6"/>
  <c r="R105" i="6" s="1"/>
  <c r="Y192" i="6"/>
  <c r="AD192" i="6" s="1"/>
  <c r="N163" i="6"/>
  <c r="R163" i="6" s="1"/>
  <c r="Y166" i="6"/>
  <c r="AD166" i="6" s="1"/>
  <c r="Y209" i="6"/>
  <c r="AD209" i="6" s="1"/>
  <c r="N104" i="6"/>
  <c r="R104" i="6" s="1"/>
  <c r="Y215" i="6"/>
  <c r="AD215" i="6" s="1"/>
  <c r="N190" i="6"/>
  <c r="R190" i="6" s="1"/>
  <c r="Y126" i="6"/>
  <c r="AD126" i="6" s="1"/>
  <c r="N115" i="6"/>
  <c r="R115" i="6" s="1"/>
  <c r="N213" i="6"/>
  <c r="R213" i="6" s="1"/>
  <c r="N149" i="6"/>
  <c r="R149" i="6" s="1"/>
  <c r="N102" i="6"/>
  <c r="R102" i="6" s="1"/>
  <c r="Y143" i="6"/>
  <c r="AD143" i="6" s="1"/>
  <c r="N128" i="6"/>
  <c r="R128" i="6" s="1"/>
  <c r="N112" i="6"/>
  <c r="R112" i="6" s="1"/>
  <c r="N110" i="6"/>
  <c r="R110" i="6" s="1"/>
  <c r="N197" i="6"/>
  <c r="R197" i="6" s="1"/>
  <c r="N125" i="6"/>
  <c r="R125" i="6" s="1"/>
  <c r="N168" i="6"/>
  <c r="R168" i="6" s="1"/>
  <c r="Y105" i="6"/>
  <c r="AD105" i="6" s="1"/>
  <c r="Y213" i="6"/>
  <c r="AD213" i="6" s="1"/>
  <c r="Y131" i="6"/>
  <c r="AD131" i="6" s="1"/>
  <c r="Y148" i="6"/>
  <c r="AD148" i="6" s="1"/>
  <c r="Y163" i="6"/>
  <c r="AD163" i="6" s="1"/>
  <c r="N209" i="6"/>
  <c r="R209" i="6" s="1"/>
  <c r="Y106" i="6"/>
  <c r="AD106" i="6" s="1"/>
  <c r="Y164" i="6"/>
  <c r="AD164" i="6" s="1"/>
  <c r="N108" i="6"/>
  <c r="R108" i="6" s="1"/>
  <c r="Y178" i="6"/>
  <c r="AD178" i="6" s="1"/>
  <c r="N172" i="6"/>
  <c r="R172" i="6" s="1"/>
  <c r="N123" i="6"/>
  <c r="R123" i="6" s="1"/>
  <c r="Y100" i="6"/>
  <c r="AD100" i="6" s="1"/>
  <c r="N177" i="6"/>
  <c r="R177" i="6" s="1"/>
  <c r="N166" i="6"/>
  <c r="R166" i="6" s="1"/>
  <c r="Y98" i="6"/>
  <c r="AD98" i="6" s="1"/>
  <c r="Y219" i="6"/>
  <c r="AD219" i="6" s="1"/>
  <c r="Y206" i="6"/>
  <c r="AD206" i="6" s="1"/>
  <c r="Y191" i="6"/>
  <c r="AD191" i="6" s="1"/>
  <c r="N192" i="6"/>
  <c r="R192" i="6" s="1"/>
  <c r="Y104" i="6"/>
  <c r="AD104" i="6" s="1"/>
  <c r="N106" i="6"/>
  <c r="R106" i="6" s="1"/>
  <c r="N170" i="6"/>
  <c r="R170" i="6" s="1"/>
  <c r="Y107" i="6"/>
  <c r="AD107" i="6" s="1"/>
  <c r="N130" i="6"/>
  <c r="R130" i="6" s="1"/>
  <c r="Y141" i="6"/>
  <c r="AD141" i="6" s="1"/>
  <c r="N167" i="6"/>
  <c r="R167" i="6" s="1"/>
  <c r="Y173" i="6"/>
  <c r="AD173" i="6" s="1"/>
  <c r="N196" i="6"/>
  <c r="R196" i="6" s="1"/>
  <c r="N207" i="6"/>
  <c r="R207" i="6" s="1"/>
  <c r="N171" i="6"/>
  <c r="R171" i="6" s="1"/>
  <c r="N121" i="6"/>
  <c r="R121" i="6" s="1"/>
  <c r="N144" i="6"/>
  <c r="R144" i="6" s="1"/>
  <c r="N157" i="6"/>
  <c r="R157" i="6" s="1"/>
  <c r="N155" i="6"/>
  <c r="R155" i="6" s="1"/>
  <c r="N186" i="6"/>
  <c r="R186" i="6" s="1"/>
  <c r="N122" i="6"/>
  <c r="R122" i="6" s="1"/>
  <c r="N101" i="6"/>
  <c r="R101" i="6" s="1"/>
  <c r="N188" i="6"/>
  <c r="R188" i="6" s="1"/>
  <c r="Y111" i="6"/>
  <c r="AD111" i="6" s="1"/>
  <c r="Y97" i="6"/>
  <c r="AD97" i="6" s="1"/>
  <c r="Y175" i="6"/>
  <c r="AD175" i="6" s="1"/>
  <c r="Y169" i="6"/>
  <c r="AD169" i="6" s="1"/>
  <c r="Y196" i="6"/>
  <c r="AD196" i="6" s="1"/>
  <c r="N119" i="6"/>
  <c r="R119" i="6" s="1"/>
  <c r="Y207" i="6"/>
  <c r="AD207" i="6" s="1"/>
  <c r="N206" i="6"/>
  <c r="R206" i="6" s="1"/>
  <c r="Y155" i="6"/>
  <c r="AD155" i="6" s="1"/>
  <c r="Y130" i="6"/>
  <c r="AD130" i="6" s="1"/>
  <c r="Y170" i="6"/>
  <c r="AD170" i="6" s="1"/>
  <c r="Y157" i="6"/>
  <c r="AD157" i="6" s="1"/>
  <c r="N161" i="6"/>
  <c r="R161" i="6" s="1"/>
  <c r="Y171" i="6"/>
  <c r="AD171" i="6" s="1"/>
  <c r="Y167" i="6"/>
  <c r="AD167" i="6" s="1"/>
  <c r="Y122" i="6"/>
  <c r="AD122" i="6" s="1"/>
  <c r="N147" i="6"/>
  <c r="R147" i="6" s="1"/>
  <c r="N184" i="6"/>
  <c r="R184" i="6" s="1"/>
  <c r="N120" i="6"/>
  <c r="R120" i="6" s="1"/>
  <c r="Y165" i="6"/>
  <c r="AD165" i="6" s="1"/>
  <c r="N142" i="6"/>
  <c r="R142" i="6" s="1"/>
  <c r="Y114" i="6"/>
  <c r="AD114" i="6" s="1"/>
  <c r="Y186" i="6"/>
  <c r="AD186" i="6" s="1"/>
  <c r="Y95" i="6"/>
  <c r="AD95" i="6" s="1"/>
  <c r="Y158" i="6"/>
  <c r="AD158" i="6" s="1"/>
  <c r="N211" i="6"/>
  <c r="R211" i="6" s="1"/>
  <c r="Y160" i="6"/>
  <c r="AD160" i="6" s="1"/>
  <c r="N96" i="6"/>
  <c r="R96" i="6" s="1"/>
  <c r="Y189" i="6"/>
  <c r="AD189" i="6" s="1"/>
  <c r="N212" i="6"/>
  <c r="R212" i="6" s="1"/>
  <c r="N202" i="6"/>
  <c r="R202" i="6" s="1"/>
  <c r="N159" i="6"/>
  <c r="R159" i="6" s="1"/>
  <c r="Y204" i="6"/>
  <c r="AD204" i="6" s="1"/>
  <c r="N187" i="6"/>
  <c r="R187" i="6" s="1"/>
  <c r="N198" i="6"/>
  <c r="R198" i="6" s="1"/>
  <c r="Y134" i="6"/>
  <c r="AD134" i="6" s="1"/>
  <c r="N136" i="6"/>
  <c r="R136" i="6" s="1"/>
  <c r="N137" i="6"/>
  <c r="R137" i="6" s="1"/>
  <c r="Y200" i="6"/>
  <c r="AD200" i="6" s="1"/>
  <c r="N164" i="6"/>
  <c r="R164" i="6" s="1"/>
  <c r="Y214" i="6"/>
  <c r="AD214" i="6" s="1"/>
  <c r="Y99" i="6"/>
  <c r="AD99" i="6" s="1"/>
  <c r="Y117" i="6"/>
  <c r="AD117" i="6" s="1"/>
  <c r="Y108" i="6"/>
  <c r="AD108" i="6" s="1"/>
  <c r="Y202" i="6"/>
  <c r="AD202" i="6" s="1"/>
  <c r="N178" i="6"/>
  <c r="R178" i="6" s="1"/>
  <c r="N114" i="6"/>
  <c r="R114" i="6" s="1"/>
  <c r="N100" i="6"/>
  <c r="R100" i="6" s="1"/>
  <c r="Y147" i="6"/>
  <c r="AD147" i="6" s="1"/>
  <c r="N117" i="6"/>
  <c r="R117" i="6" s="1"/>
  <c r="Y212" i="6"/>
  <c r="AD212" i="6" s="1"/>
  <c r="Y159" i="6"/>
  <c r="AD159" i="6" s="1"/>
  <c r="Y136" i="6"/>
  <c r="AD136" i="6" s="1"/>
  <c r="N165" i="6"/>
  <c r="R165" i="6" s="1"/>
  <c r="Y138" i="6"/>
  <c r="AD138" i="6" s="1"/>
  <c r="N217" i="6"/>
  <c r="R217" i="6" s="1"/>
  <c r="Y177" i="6"/>
  <c r="AD177" i="6" s="1"/>
  <c r="Y218" i="6"/>
  <c r="AD218" i="6" s="1"/>
  <c r="N133" i="6"/>
  <c r="R133" i="6" s="1"/>
  <c r="Y123" i="6"/>
  <c r="AD123" i="6" s="1"/>
  <c r="Y211" i="6"/>
  <c r="AD211" i="6" s="1"/>
  <c r="Y187" i="6"/>
  <c r="AD187" i="6" s="1"/>
  <c r="N205" i="6"/>
  <c r="R205" i="6" s="1"/>
  <c r="Y124" i="6"/>
  <c r="AD124" i="6" s="1"/>
  <c r="Y142" i="6"/>
  <c r="AD142" i="6" s="1"/>
  <c r="N134" i="6"/>
  <c r="R134" i="6" s="1"/>
  <c r="N158" i="6"/>
  <c r="R158" i="6" s="1"/>
  <c r="N200" i="6"/>
  <c r="R200" i="6" s="1"/>
  <c r="N141" i="6"/>
  <c r="R141" i="6" s="1"/>
  <c r="N201" i="6"/>
  <c r="R201" i="6" s="1"/>
  <c r="N216" i="6"/>
  <c r="R216" i="6" s="1"/>
  <c r="N109" i="6"/>
  <c r="R109" i="6" s="1"/>
  <c r="Y140" i="6"/>
  <c r="AD140" i="6" s="1"/>
  <c r="Y203" i="6"/>
  <c r="AD203" i="6" s="1"/>
  <c r="N189" i="6"/>
  <c r="R189" i="6" s="1"/>
  <c r="N174" i="6"/>
  <c r="R174" i="6" s="1"/>
  <c r="N194" i="6"/>
  <c r="R194" i="6" s="1"/>
  <c r="Y96" i="6"/>
  <c r="AD96" i="6" s="1"/>
  <c r="N139" i="6"/>
  <c r="R139" i="6" s="1"/>
  <c r="Y195" i="6"/>
  <c r="AD195" i="6" s="1"/>
  <c r="N107" i="6"/>
  <c r="R107" i="6" s="1"/>
  <c r="N180" i="6"/>
  <c r="R180" i="6" s="1"/>
  <c r="Y184" i="6"/>
  <c r="AD184" i="6" s="1"/>
  <c r="Y120" i="6"/>
  <c r="AD120" i="6" s="1"/>
  <c r="N220" i="6"/>
  <c r="R220" i="6" s="1"/>
  <c r="Y198" i="6"/>
  <c r="AD198" i="6" s="1"/>
  <c r="N181" i="6"/>
  <c r="R181" i="6" s="1"/>
  <c r="N208" i="6"/>
  <c r="R208" i="6" s="1"/>
  <c r="Y188" i="6"/>
  <c r="AD188" i="6" s="1"/>
  <c r="Y182" i="6"/>
  <c r="AD182" i="6" s="1"/>
  <c r="N118" i="6"/>
  <c r="R118" i="6" s="1"/>
  <c r="N97" i="6"/>
  <c r="R97" i="6" s="1"/>
  <c r="N160" i="6"/>
  <c r="R160" i="6" s="1"/>
  <c r="Y193" i="6"/>
  <c r="AD193" i="6" s="1"/>
  <c r="N95" i="6"/>
  <c r="R95" i="6" s="1"/>
  <c r="N103" i="6"/>
  <c r="R103" i="6" s="1"/>
  <c r="N204" i="6"/>
  <c r="R204" i="6" s="1"/>
  <c r="Y151" i="6"/>
  <c r="AD151" i="6" s="1"/>
  <c r="Y125" i="6"/>
  <c r="AD125" i="6" s="1"/>
  <c r="Y172" i="6"/>
  <c r="AD172" i="6" s="1"/>
  <c r="Y168" i="6"/>
  <c r="AD168" i="6" s="1"/>
  <c r="Y129" i="6"/>
  <c r="AD129" i="6" s="1"/>
  <c r="N138" i="6"/>
  <c r="R138" i="6" s="1"/>
  <c r="N162" i="6"/>
  <c r="R162" i="6" s="1"/>
  <c r="Y127" i="6"/>
  <c r="AD127" i="6" s="1"/>
  <c r="Y221" i="6"/>
  <c r="AD221" i="6" s="1"/>
  <c r="Y150" i="6"/>
  <c r="AD150" i="6" s="1"/>
  <c r="G136" i="14" l="1"/>
  <c r="H136" i="14" s="1"/>
  <c r="I136" i="14" s="1"/>
  <c r="K136" i="14" s="1"/>
  <c r="M136" i="14" s="1"/>
  <c r="N136" i="14" s="1"/>
  <c r="O136" i="14" s="1"/>
  <c r="P136" i="14" s="1"/>
  <c r="D137" i="14"/>
  <c r="F137" i="14"/>
  <c r="E137" i="14"/>
  <c r="A139" i="14"/>
  <c r="B138" i="14"/>
  <c r="L138" i="14"/>
  <c r="B239" i="6"/>
  <c r="B235" i="6"/>
  <c r="B234" i="6"/>
  <c r="B232" i="6"/>
  <c r="B233" i="6"/>
  <c r="B238" i="6"/>
  <c r="G137" i="14" l="1"/>
  <c r="H137" i="14" s="1"/>
  <c r="I137" i="14" s="1"/>
  <c r="K137" i="14" s="1"/>
  <c r="M137" i="14" s="1"/>
  <c r="N137" i="14" s="1"/>
  <c r="O137" i="14" s="1"/>
  <c r="P137" i="14" s="1"/>
  <c r="D138" i="14"/>
  <c r="F138" i="14"/>
  <c r="E138" i="14"/>
  <c r="A140" i="14"/>
  <c r="B139" i="14"/>
  <c r="L139" i="14"/>
  <c r="B236" i="6"/>
  <c r="B237" i="6" s="1"/>
  <c r="B87" i="6" s="1"/>
  <c r="B26" i="6" s="1"/>
  <c r="B49" i="1" s="1"/>
  <c r="B240" i="6"/>
  <c r="G138" i="14" l="1"/>
  <c r="H138" i="14" s="1"/>
  <c r="I138" i="14" s="1"/>
  <c r="K138" i="14" s="1"/>
  <c r="M138" i="14" s="1"/>
  <c r="N138" i="14" s="1"/>
  <c r="O138" i="14" s="1"/>
  <c r="P138" i="14" s="1"/>
  <c r="D139" i="14"/>
  <c r="E139" i="14"/>
  <c r="F139" i="14"/>
  <c r="A141" i="14"/>
  <c r="B140" i="14"/>
  <c r="L140" i="14"/>
  <c r="B85" i="1"/>
  <c r="B241" i="6"/>
  <c r="B88" i="6" s="1"/>
  <c r="A142" i="14" l="1"/>
  <c r="B141" i="14"/>
  <c r="L141" i="14"/>
  <c r="G139" i="14"/>
  <c r="H139" i="14" s="1"/>
  <c r="I139" i="14" s="1"/>
  <c r="K139" i="14" s="1"/>
  <c r="M139" i="14" s="1"/>
  <c r="N139" i="14" s="1"/>
  <c r="O139" i="14" s="1"/>
  <c r="P139" i="14" s="1"/>
  <c r="D140" i="14"/>
  <c r="E140" i="14"/>
  <c r="F140" i="14"/>
  <c r="B242" i="6"/>
  <c r="B89" i="6" s="1"/>
  <c r="B86" i="1" s="1"/>
  <c r="G140" i="14" l="1"/>
  <c r="H140" i="14" s="1"/>
  <c r="I140" i="14" s="1"/>
  <c r="K140" i="14" s="1"/>
  <c r="M140" i="14" s="1"/>
  <c r="N140" i="14" s="1"/>
  <c r="O140" i="14" s="1"/>
  <c r="P140" i="14" s="1"/>
  <c r="D141" i="14"/>
  <c r="F141" i="14"/>
  <c r="E141" i="14"/>
  <c r="A143" i="14"/>
  <c r="B142" i="14"/>
  <c r="L142" i="14"/>
  <c r="G141" i="14" l="1"/>
  <c r="H141" i="14" s="1"/>
  <c r="I141" i="14" s="1"/>
  <c r="K141" i="14" s="1"/>
  <c r="M141" i="14" s="1"/>
  <c r="N141" i="14" s="1"/>
  <c r="O141" i="14" s="1"/>
  <c r="P141" i="14" s="1"/>
  <c r="D142" i="14"/>
  <c r="F142" i="14"/>
  <c r="E142" i="14"/>
  <c r="A144" i="14"/>
  <c r="B143" i="14"/>
  <c r="L143" i="14"/>
  <c r="G142" i="14" l="1"/>
  <c r="H142" i="14" s="1"/>
  <c r="I142" i="14" s="1"/>
  <c r="K142" i="14" s="1"/>
  <c r="M142" i="14" s="1"/>
  <c r="N142" i="14" s="1"/>
  <c r="O142" i="14" s="1"/>
  <c r="P142" i="14" s="1"/>
  <c r="A145" i="14"/>
  <c r="B144" i="14"/>
  <c r="L144" i="14"/>
  <c r="D143" i="14"/>
  <c r="E143" i="14"/>
  <c r="F143" i="14"/>
  <c r="G143" i="14" l="1"/>
  <c r="H143" i="14" s="1"/>
  <c r="I143" i="14" s="1"/>
  <c r="K143" i="14" s="1"/>
  <c r="M143" i="14" s="1"/>
  <c r="N143" i="14" s="1"/>
  <c r="O143" i="14" s="1"/>
  <c r="P143" i="14" s="1"/>
  <c r="D144" i="14"/>
  <c r="F144" i="14"/>
  <c r="E144" i="14"/>
  <c r="A146" i="14"/>
  <c r="B145" i="14"/>
  <c r="L145" i="14"/>
  <c r="G144" i="14" l="1"/>
  <c r="H144" i="14" s="1"/>
  <c r="I144" i="14" s="1"/>
  <c r="K144" i="14" s="1"/>
  <c r="M144" i="14" s="1"/>
  <c r="N144" i="14" s="1"/>
  <c r="O144" i="14" s="1"/>
  <c r="P144" i="14" s="1"/>
  <c r="A147" i="14"/>
  <c r="B146" i="14"/>
  <c r="L146" i="14"/>
  <c r="D145" i="14"/>
  <c r="F145" i="14"/>
  <c r="E145" i="14"/>
  <c r="G145" i="14" l="1"/>
  <c r="H145" i="14" s="1"/>
  <c r="I145" i="14" s="1"/>
  <c r="K145" i="14" s="1"/>
  <c r="M145" i="14" s="1"/>
  <c r="N145" i="14" s="1"/>
  <c r="O145" i="14" s="1"/>
  <c r="P145" i="14" s="1"/>
  <c r="D146" i="14"/>
  <c r="E146" i="14"/>
  <c r="F146" i="14"/>
  <c r="A148" i="14"/>
  <c r="B147" i="14"/>
  <c r="L147" i="14"/>
  <c r="D147" i="14" l="1"/>
  <c r="E147" i="14"/>
  <c r="F147" i="14"/>
  <c r="A149" i="14"/>
  <c r="B148" i="14"/>
  <c r="L148" i="14"/>
  <c r="G146" i="14"/>
  <c r="H146" i="14" s="1"/>
  <c r="I146" i="14" s="1"/>
  <c r="K146" i="14" s="1"/>
  <c r="M146" i="14" s="1"/>
  <c r="N146" i="14" s="1"/>
  <c r="O146" i="14" s="1"/>
  <c r="P146" i="14" s="1"/>
  <c r="G147" i="14" l="1"/>
  <c r="H147" i="14" s="1"/>
  <c r="I147" i="14" s="1"/>
  <c r="K147" i="14" s="1"/>
  <c r="M147" i="14" s="1"/>
  <c r="N147" i="14" s="1"/>
  <c r="O147" i="14" s="1"/>
  <c r="P147" i="14" s="1"/>
  <c r="A150" i="14"/>
  <c r="B149" i="14"/>
  <c r="L149" i="14"/>
  <c r="D148" i="14"/>
  <c r="F148" i="14"/>
  <c r="E148" i="14"/>
  <c r="G148" i="14" l="1"/>
  <c r="H148" i="14" s="1"/>
  <c r="I148" i="14" s="1"/>
  <c r="K148" i="14" s="1"/>
  <c r="M148" i="14" s="1"/>
  <c r="N148" i="14" s="1"/>
  <c r="O148" i="14" s="1"/>
  <c r="P148" i="14" s="1"/>
  <c r="D149" i="14"/>
  <c r="F149" i="14"/>
  <c r="E149" i="14"/>
  <c r="A151" i="14"/>
  <c r="B150" i="14"/>
  <c r="L150" i="14"/>
  <c r="G149" i="14" l="1"/>
  <c r="H149" i="14" s="1"/>
  <c r="I149" i="14" s="1"/>
  <c r="K149" i="14" s="1"/>
  <c r="M149" i="14" s="1"/>
  <c r="N149" i="14" s="1"/>
  <c r="O149" i="14" s="1"/>
  <c r="P149" i="14" s="1"/>
  <c r="D150" i="14"/>
  <c r="F150" i="14"/>
  <c r="E150" i="14"/>
  <c r="A152" i="14"/>
  <c r="B151" i="14"/>
  <c r="L151" i="14"/>
  <c r="G150" i="14" l="1"/>
  <c r="H150" i="14" s="1"/>
  <c r="I150" i="14" s="1"/>
  <c r="K150" i="14" s="1"/>
  <c r="M150" i="14" s="1"/>
  <c r="N150" i="14" s="1"/>
  <c r="O150" i="14" s="1"/>
  <c r="P150" i="14" s="1"/>
  <c r="D151" i="14"/>
  <c r="F151" i="14"/>
  <c r="E151" i="14"/>
  <c r="A153" i="14"/>
  <c r="B152" i="14"/>
  <c r="L152" i="14"/>
  <c r="G151" i="14" l="1"/>
  <c r="H151" i="14" s="1"/>
  <c r="I151" i="14" s="1"/>
  <c r="K151" i="14" s="1"/>
  <c r="M151" i="14" s="1"/>
  <c r="N151" i="14" s="1"/>
  <c r="O151" i="14" s="1"/>
  <c r="P151" i="14" s="1"/>
  <c r="A154" i="14"/>
  <c r="B153" i="14"/>
  <c r="L153" i="14"/>
  <c r="D152" i="14"/>
  <c r="F152" i="14"/>
  <c r="E152" i="14"/>
  <c r="G152" i="14" l="1"/>
  <c r="H152" i="14" s="1"/>
  <c r="I152" i="14" s="1"/>
  <c r="K152" i="14" s="1"/>
  <c r="M152" i="14" s="1"/>
  <c r="N152" i="14" s="1"/>
  <c r="O152" i="14" s="1"/>
  <c r="P152" i="14" s="1"/>
  <c r="D153" i="14"/>
  <c r="F153" i="14"/>
  <c r="E153" i="14"/>
  <c r="A155" i="14"/>
  <c r="B154" i="14"/>
  <c r="L154" i="14"/>
  <c r="G153" i="14" l="1"/>
  <c r="H153" i="14" s="1"/>
  <c r="I153" i="14" s="1"/>
  <c r="K153" i="14" s="1"/>
  <c r="M153" i="14" s="1"/>
  <c r="N153" i="14" s="1"/>
  <c r="O153" i="14" s="1"/>
  <c r="P153" i="14" s="1"/>
  <c r="D154" i="14"/>
  <c r="F154" i="14"/>
  <c r="E154" i="14"/>
  <c r="A156" i="14"/>
  <c r="B155" i="14"/>
  <c r="L155" i="14"/>
  <c r="G154" i="14" l="1"/>
  <c r="H154" i="14" s="1"/>
  <c r="I154" i="14" s="1"/>
  <c r="K154" i="14" s="1"/>
  <c r="M154" i="14" s="1"/>
  <c r="N154" i="14" s="1"/>
  <c r="O154" i="14" s="1"/>
  <c r="P154" i="14" s="1"/>
  <c r="D155" i="14"/>
  <c r="F155" i="14"/>
  <c r="E155" i="14"/>
  <c r="A157" i="14"/>
  <c r="B156" i="14"/>
  <c r="L156" i="14"/>
  <c r="G155" i="14" l="1"/>
  <c r="H155" i="14" s="1"/>
  <c r="I155" i="14" s="1"/>
  <c r="K155" i="14" s="1"/>
  <c r="M155" i="14" s="1"/>
  <c r="N155" i="14" s="1"/>
  <c r="O155" i="14" s="1"/>
  <c r="P155" i="14" s="1"/>
  <c r="D156" i="14"/>
  <c r="F156" i="14"/>
  <c r="E156" i="14"/>
  <c r="A158" i="14"/>
  <c r="B157" i="14"/>
  <c r="L157" i="14"/>
  <c r="G156" i="14" l="1"/>
  <c r="H156" i="14" s="1"/>
  <c r="I156" i="14" s="1"/>
  <c r="K156" i="14" s="1"/>
  <c r="M156" i="14" s="1"/>
  <c r="N156" i="14" s="1"/>
  <c r="O156" i="14" s="1"/>
  <c r="P156" i="14" s="1"/>
  <c r="A159" i="14"/>
  <c r="B158" i="14"/>
  <c r="L158" i="14"/>
  <c r="D157" i="14"/>
  <c r="F157" i="14"/>
  <c r="E157" i="14"/>
  <c r="G157" i="14" l="1"/>
  <c r="H157" i="14" s="1"/>
  <c r="I157" i="14" s="1"/>
  <c r="K157" i="14" s="1"/>
  <c r="M157" i="14" s="1"/>
  <c r="N157" i="14" s="1"/>
  <c r="O157" i="14" s="1"/>
  <c r="P157" i="14" s="1"/>
  <c r="D158" i="14"/>
  <c r="F158" i="14"/>
  <c r="E158" i="14"/>
  <c r="A160" i="14"/>
  <c r="B159" i="14"/>
  <c r="L159" i="14"/>
  <c r="G158" i="14" l="1"/>
  <c r="H158" i="14" s="1"/>
  <c r="I158" i="14" s="1"/>
  <c r="K158" i="14" s="1"/>
  <c r="M158" i="14" s="1"/>
  <c r="N158" i="14" s="1"/>
  <c r="O158" i="14" s="1"/>
  <c r="P158" i="14" s="1"/>
  <c r="D159" i="14"/>
  <c r="F159" i="14"/>
  <c r="E159" i="14"/>
  <c r="A161" i="14"/>
  <c r="B160" i="14"/>
  <c r="L160" i="14"/>
  <c r="G159" i="14" l="1"/>
  <c r="H159" i="14" s="1"/>
  <c r="I159" i="14" s="1"/>
  <c r="K159" i="14" s="1"/>
  <c r="M159" i="14" s="1"/>
  <c r="N159" i="14" s="1"/>
  <c r="O159" i="14" s="1"/>
  <c r="P159" i="14" s="1"/>
  <c r="A162" i="14"/>
  <c r="B161" i="14"/>
  <c r="L161" i="14"/>
  <c r="D160" i="14"/>
  <c r="F160" i="14"/>
  <c r="E160" i="14"/>
  <c r="G160" i="14" l="1"/>
  <c r="H160" i="14" s="1"/>
  <c r="I160" i="14" s="1"/>
  <c r="K160" i="14" s="1"/>
  <c r="M160" i="14" s="1"/>
  <c r="N160" i="14" s="1"/>
  <c r="O160" i="14" s="1"/>
  <c r="P160" i="14" s="1"/>
  <c r="D161" i="14"/>
  <c r="E161" i="14"/>
  <c r="F161" i="14"/>
  <c r="A163" i="14"/>
  <c r="B162" i="14"/>
  <c r="L162" i="14"/>
  <c r="D162" i="14" l="1"/>
  <c r="F162" i="14"/>
  <c r="E162" i="14"/>
  <c r="A164" i="14"/>
  <c r="B163" i="14"/>
  <c r="L163" i="14"/>
  <c r="G161" i="14"/>
  <c r="H161" i="14" s="1"/>
  <c r="I161" i="14" s="1"/>
  <c r="K161" i="14" s="1"/>
  <c r="M161" i="14" s="1"/>
  <c r="N161" i="14" s="1"/>
  <c r="O161" i="14" s="1"/>
  <c r="P161" i="14" s="1"/>
  <c r="G162" i="14" l="1"/>
  <c r="H162" i="14" s="1"/>
  <c r="I162" i="14" s="1"/>
  <c r="K162" i="14" s="1"/>
  <c r="M162" i="14" s="1"/>
  <c r="N162" i="14" s="1"/>
  <c r="O162" i="14" s="1"/>
  <c r="P162" i="14" s="1"/>
  <c r="D163" i="14"/>
  <c r="F163" i="14"/>
  <c r="E163" i="14"/>
  <c r="A165" i="14"/>
  <c r="B164" i="14"/>
  <c r="L164" i="14"/>
  <c r="G163" i="14" l="1"/>
  <c r="H163" i="14" s="1"/>
  <c r="I163" i="14" s="1"/>
  <c r="K163" i="14" s="1"/>
  <c r="M163" i="14" s="1"/>
  <c r="N163" i="14" s="1"/>
  <c r="O163" i="14" s="1"/>
  <c r="P163" i="14" s="1"/>
  <c r="A166" i="14"/>
  <c r="B165" i="14"/>
  <c r="L165" i="14"/>
  <c r="D164" i="14"/>
  <c r="F164" i="14"/>
  <c r="E164" i="14"/>
  <c r="G164" i="14" l="1"/>
  <c r="H164" i="14" s="1"/>
  <c r="I164" i="14" s="1"/>
  <c r="K164" i="14" s="1"/>
  <c r="M164" i="14" s="1"/>
  <c r="N164" i="14" s="1"/>
  <c r="O164" i="14" s="1"/>
  <c r="P164" i="14" s="1"/>
  <c r="D165" i="14"/>
  <c r="F165" i="14"/>
  <c r="E165" i="14"/>
  <c r="A167" i="14"/>
  <c r="B166" i="14"/>
  <c r="L166" i="14"/>
  <c r="G165" i="14" l="1"/>
  <c r="H165" i="14" s="1"/>
  <c r="I165" i="14" s="1"/>
  <c r="K165" i="14" s="1"/>
  <c r="M165" i="14" s="1"/>
  <c r="N165" i="14" s="1"/>
  <c r="O165" i="14" s="1"/>
  <c r="P165" i="14" s="1"/>
  <c r="D166" i="14"/>
  <c r="F166" i="14"/>
  <c r="E166" i="14"/>
  <c r="A168" i="14"/>
  <c r="B167" i="14"/>
  <c r="L167" i="14"/>
  <c r="G166" i="14" l="1"/>
  <c r="H166" i="14" s="1"/>
  <c r="I166" i="14" s="1"/>
  <c r="K166" i="14" s="1"/>
  <c r="M166" i="14" s="1"/>
  <c r="N166" i="14" s="1"/>
  <c r="O166" i="14" s="1"/>
  <c r="P166" i="14" s="1"/>
  <c r="D167" i="14"/>
  <c r="F167" i="14"/>
  <c r="E167" i="14"/>
  <c r="A169" i="14"/>
  <c r="B168" i="14"/>
  <c r="L168" i="14"/>
  <c r="G167" i="14" l="1"/>
  <c r="H167" i="14" s="1"/>
  <c r="I167" i="14" s="1"/>
  <c r="K167" i="14" s="1"/>
  <c r="M167" i="14" s="1"/>
  <c r="N167" i="14" s="1"/>
  <c r="O167" i="14" s="1"/>
  <c r="P167" i="14" s="1"/>
  <c r="D168" i="14"/>
  <c r="F168" i="14"/>
  <c r="E168" i="14"/>
  <c r="A170" i="14"/>
  <c r="B169" i="14"/>
  <c r="L169" i="14"/>
  <c r="G168" i="14" l="1"/>
  <c r="H168" i="14" s="1"/>
  <c r="I168" i="14" s="1"/>
  <c r="K168" i="14" s="1"/>
  <c r="M168" i="14" s="1"/>
  <c r="N168" i="14" s="1"/>
  <c r="O168" i="14" s="1"/>
  <c r="P168" i="14" s="1"/>
  <c r="D169" i="14"/>
  <c r="F169" i="14"/>
  <c r="E169" i="14"/>
  <c r="A171" i="14"/>
  <c r="B170" i="14"/>
  <c r="L170" i="14"/>
  <c r="G169" i="14" l="1"/>
  <c r="H169" i="14" s="1"/>
  <c r="I169" i="14" s="1"/>
  <c r="K169" i="14" s="1"/>
  <c r="M169" i="14" s="1"/>
  <c r="N169" i="14" s="1"/>
  <c r="O169" i="14" s="1"/>
  <c r="P169" i="14" s="1"/>
  <c r="D170" i="14"/>
  <c r="F170" i="14"/>
  <c r="E170" i="14"/>
  <c r="A172" i="14"/>
  <c r="B171" i="14"/>
  <c r="L171" i="14"/>
  <c r="G170" i="14" l="1"/>
  <c r="H170" i="14" s="1"/>
  <c r="I170" i="14" s="1"/>
  <c r="K170" i="14" s="1"/>
  <c r="M170" i="14" s="1"/>
  <c r="N170" i="14" s="1"/>
  <c r="O170" i="14" s="1"/>
  <c r="P170" i="14" s="1"/>
  <c r="A173" i="14"/>
  <c r="B172" i="14"/>
  <c r="L172" i="14"/>
  <c r="D171" i="14"/>
  <c r="F171" i="14"/>
  <c r="E171" i="14"/>
  <c r="G171" i="14" l="1"/>
  <c r="H171" i="14" s="1"/>
  <c r="I171" i="14" s="1"/>
  <c r="K171" i="14" s="1"/>
  <c r="M171" i="14" s="1"/>
  <c r="N171" i="14" s="1"/>
  <c r="O171" i="14" s="1"/>
  <c r="P171" i="14" s="1"/>
  <c r="D172" i="14"/>
  <c r="F172" i="14"/>
  <c r="E172" i="14"/>
  <c r="A174" i="14"/>
  <c r="B173" i="14"/>
  <c r="L173" i="14"/>
  <c r="G172" i="14" l="1"/>
  <c r="H172" i="14" s="1"/>
  <c r="I172" i="14" s="1"/>
  <c r="K172" i="14" s="1"/>
  <c r="M172" i="14" s="1"/>
  <c r="N172" i="14" s="1"/>
  <c r="O172" i="14" s="1"/>
  <c r="P172" i="14" s="1"/>
  <c r="A175" i="14"/>
  <c r="B174" i="14"/>
  <c r="L174" i="14"/>
  <c r="D173" i="14"/>
  <c r="F173" i="14"/>
  <c r="E173" i="14"/>
  <c r="G173" i="14" l="1"/>
  <c r="H173" i="14" s="1"/>
  <c r="I173" i="14" s="1"/>
  <c r="K173" i="14" s="1"/>
  <c r="M173" i="14" s="1"/>
  <c r="N173" i="14" s="1"/>
  <c r="O173" i="14" s="1"/>
  <c r="P173" i="14" s="1"/>
  <c r="D174" i="14"/>
  <c r="F174" i="14"/>
  <c r="E174" i="14"/>
  <c r="A176" i="14"/>
  <c r="B175" i="14"/>
  <c r="L175" i="14"/>
  <c r="G174" i="14" l="1"/>
  <c r="H174" i="14" s="1"/>
  <c r="I174" i="14" s="1"/>
  <c r="K174" i="14" s="1"/>
  <c r="M174" i="14" s="1"/>
  <c r="N174" i="14" s="1"/>
  <c r="O174" i="14" s="1"/>
  <c r="P174" i="14" s="1"/>
  <c r="D175" i="14"/>
  <c r="E175" i="14"/>
  <c r="F175" i="14"/>
  <c r="A177" i="14"/>
  <c r="B176" i="14"/>
  <c r="L176" i="14"/>
  <c r="A178" i="14" l="1"/>
  <c r="B177" i="14"/>
  <c r="L177" i="14"/>
  <c r="D176" i="14"/>
  <c r="F176" i="14"/>
  <c r="E176" i="14"/>
  <c r="G175" i="14"/>
  <c r="G176" i="14" l="1"/>
  <c r="H176" i="14" s="1"/>
  <c r="I176" i="14" s="1"/>
  <c r="K176" i="14" s="1"/>
  <c r="M176" i="14" s="1"/>
  <c r="N176" i="14" s="1"/>
  <c r="O176" i="14" s="1"/>
  <c r="P176" i="14" s="1"/>
  <c r="H175" i="14"/>
  <c r="I175" i="14" s="1"/>
  <c r="K175" i="14" s="1"/>
  <c r="M175" i="14" s="1"/>
  <c r="N175" i="14" s="1"/>
  <c r="O175" i="14" s="1"/>
  <c r="P175" i="14" s="1"/>
  <c r="D177" i="14"/>
  <c r="F177" i="14"/>
  <c r="E177" i="14"/>
  <c r="A179" i="14"/>
  <c r="B178" i="14"/>
  <c r="L178" i="14"/>
  <c r="G177" i="14" l="1"/>
  <c r="H177" i="14" s="1"/>
  <c r="I177" i="14" s="1"/>
  <c r="K177" i="14" s="1"/>
  <c r="M177" i="14" s="1"/>
  <c r="N177" i="14" s="1"/>
  <c r="O177" i="14" s="1"/>
  <c r="P177" i="14" s="1"/>
  <c r="A180" i="14"/>
  <c r="B179" i="14"/>
  <c r="L179" i="14"/>
  <c r="D178" i="14"/>
  <c r="F178" i="14"/>
  <c r="E178" i="14"/>
  <c r="G178" i="14" l="1"/>
  <c r="H178" i="14" s="1"/>
  <c r="I178" i="14" s="1"/>
  <c r="K178" i="14" s="1"/>
  <c r="M178" i="14" s="1"/>
  <c r="N178" i="14" s="1"/>
  <c r="O178" i="14" s="1"/>
  <c r="P178" i="14" s="1"/>
  <c r="D179" i="14"/>
  <c r="E179" i="14"/>
  <c r="F179" i="14"/>
  <c r="A181" i="14"/>
  <c r="B180" i="14"/>
  <c r="L180" i="14"/>
  <c r="D180" i="14" l="1"/>
  <c r="E180" i="14"/>
  <c r="F180" i="14"/>
  <c r="A182" i="14"/>
  <c r="B181" i="14"/>
  <c r="L181" i="14"/>
  <c r="G179" i="14"/>
  <c r="H179" i="14" l="1"/>
  <c r="I179" i="14" s="1"/>
  <c r="K179" i="14" s="1"/>
  <c r="M179" i="14" s="1"/>
  <c r="N179" i="14" s="1"/>
  <c r="O179" i="14" s="1"/>
  <c r="P179" i="14" s="1"/>
  <c r="A183" i="14"/>
  <c r="B182" i="14"/>
  <c r="L182" i="14"/>
  <c r="D181" i="14"/>
  <c r="E181" i="14"/>
  <c r="F181" i="14"/>
  <c r="G180" i="14"/>
  <c r="H180" i="14" s="1"/>
  <c r="I180" i="14" s="1"/>
  <c r="K180" i="14" s="1"/>
  <c r="M180" i="14" s="1"/>
  <c r="N180" i="14" s="1"/>
  <c r="O180" i="14" s="1"/>
  <c r="P180" i="14" s="1"/>
  <c r="G181" i="14" l="1"/>
  <c r="H181" i="14" s="1"/>
  <c r="I181" i="14" s="1"/>
  <c r="K181" i="14" s="1"/>
  <c r="M181" i="14" s="1"/>
  <c r="N181" i="14" s="1"/>
  <c r="O181" i="14" s="1"/>
  <c r="P181" i="14" s="1"/>
  <c r="D182" i="14"/>
  <c r="F182" i="14"/>
  <c r="E182" i="14"/>
  <c r="A184" i="14"/>
  <c r="B183" i="14"/>
  <c r="L183" i="14"/>
  <c r="G182" i="14" l="1"/>
  <c r="H182" i="14" s="1"/>
  <c r="I182" i="14" s="1"/>
  <c r="K182" i="14" s="1"/>
  <c r="M182" i="14" s="1"/>
  <c r="N182" i="14" s="1"/>
  <c r="O182" i="14" s="1"/>
  <c r="P182" i="14" s="1"/>
  <c r="D183" i="14"/>
  <c r="F183" i="14"/>
  <c r="E183" i="14"/>
  <c r="A185" i="14"/>
  <c r="B184" i="14"/>
  <c r="L184" i="14"/>
  <c r="G183" i="14" l="1"/>
  <c r="H183" i="14" s="1"/>
  <c r="I183" i="14" s="1"/>
  <c r="K183" i="14" s="1"/>
  <c r="M183" i="14" s="1"/>
  <c r="N183" i="14" s="1"/>
  <c r="O183" i="14" s="1"/>
  <c r="P183" i="14" s="1"/>
  <c r="A186" i="14"/>
  <c r="B185" i="14"/>
  <c r="L185" i="14"/>
  <c r="D184" i="14"/>
  <c r="F184" i="14"/>
  <c r="E184" i="14"/>
  <c r="G184" i="14" l="1"/>
  <c r="H184" i="14" s="1"/>
  <c r="I184" i="14" s="1"/>
  <c r="K184" i="14" s="1"/>
  <c r="M184" i="14" s="1"/>
  <c r="N184" i="14" s="1"/>
  <c r="O184" i="14" s="1"/>
  <c r="P184" i="14" s="1"/>
  <c r="D185" i="14"/>
  <c r="F185" i="14"/>
  <c r="E185" i="14"/>
  <c r="A187" i="14"/>
  <c r="B186" i="14"/>
  <c r="L186" i="14"/>
  <c r="G185" i="14" l="1"/>
  <c r="H185" i="14" s="1"/>
  <c r="I185" i="14" s="1"/>
  <c r="K185" i="14" s="1"/>
  <c r="M185" i="14" s="1"/>
  <c r="N185" i="14" s="1"/>
  <c r="O185" i="14" s="1"/>
  <c r="P185" i="14" s="1"/>
  <c r="D186" i="14"/>
  <c r="F186" i="14"/>
  <c r="E186" i="14"/>
  <c r="A188" i="14"/>
  <c r="B187" i="14"/>
  <c r="L187" i="14"/>
  <c r="G186" i="14" l="1"/>
  <c r="H186" i="14" s="1"/>
  <c r="I186" i="14" s="1"/>
  <c r="K186" i="14" s="1"/>
  <c r="M186" i="14" s="1"/>
  <c r="N186" i="14" s="1"/>
  <c r="O186" i="14" s="1"/>
  <c r="P186" i="14" s="1"/>
  <c r="A189" i="14"/>
  <c r="B188" i="14"/>
  <c r="L188" i="14"/>
  <c r="D187" i="14"/>
  <c r="F187" i="14"/>
  <c r="E187" i="14"/>
  <c r="G187" i="14" l="1"/>
  <c r="H187" i="14" s="1"/>
  <c r="I187" i="14" s="1"/>
  <c r="K187" i="14" s="1"/>
  <c r="M187" i="14" s="1"/>
  <c r="N187" i="14" s="1"/>
  <c r="O187" i="14" s="1"/>
  <c r="P187" i="14" s="1"/>
  <c r="D188" i="14"/>
  <c r="F188" i="14"/>
  <c r="E188" i="14"/>
  <c r="A190" i="14"/>
  <c r="B189" i="14"/>
  <c r="L189" i="14"/>
  <c r="G188" i="14" l="1"/>
  <c r="H188" i="14" s="1"/>
  <c r="I188" i="14" s="1"/>
  <c r="K188" i="14" s="1"/>
  <c r="M188" i="14" s="1"/>
  <c r="N188" i="14" s="1"/>
  <c r="O188" i="14" s="1"/>
  <c r="P188" i="14" s="1"/>
  <c r="A191" i="14"/>
  <c r="B190" i="14"/>
  <c r="L190" i="14"/>
  <c r="D189" i="14"/>
  <c r="F189" i="14"/>
  <c r="E189" i="14"/>
  <c r="G189" i="14" l="1"/>
  <c r="D190" i="14"/>
  <c r="E190" i="14"/>
  <c r="F190" i="14"/>
  <c r="A192" i="14"/>
  <c r="B191" i="14"/>
  <c r="L191" i="14"/>
  <c r="D191" i="14" l="1"/>
  <c r="F191" i="14"/>
  <c r="E191" i="14"/>
  <c r="A193" i="14"/>
  <c r="B192" i="14"/>
  <c r="L192" i="14"/>
  <c r="G190" i="14"/>
  <c r="H190" i="14" s="1"/>
  <c r="I190" i="14" s="1"/>
  <c r="K190" i="14" s="1"/>
  <c r="M190" i="14" s="1"/>
  <c r="N190" i="14" s="1"/>
  <c r="O190" i="14" s="1"/>
  <c r="P190" i="14" s="1"/>
  <c r="H189" i="14"/>
  <c r="I189" i="14" s="1"/>
  <c r="K189" i="14" s="1"/>
  <c r="M189" i="14" s="1"/>
  <c r="N189" i="14" s="1"/>
  <c r="O189" i="14" s="1"/>
  <c r="P189" i="14" s="1"/>
  <c r="G191" i="14" l="1"/>
  <c r="H191" i="14" s="1"/>
  <c r="I191" i="14" s="1"/>
  <c r="K191" i="14" s="1"/>
  <c r="M191" i="14" s="1"/>
  <c r="N191" i="14" s="1"/>
  <c r="O191" i="14" s="1"/>
  <c r="P191" i="14" s="1"/>
  <c r="A194" i="14"/>
  <c r="B193" i="14"/>
  <c r="L193" i="14"/>
  <c r="D192" i="14"/>
  <c r="F192" i="14"/>
  <c r="E192" i="14"/>
  <c r="G192" i="14" l="1"/>
  <c r="H192" i="14" s="1"/>
  <c r="I192" i="14" s="1"/>
  <c r="K192" i="14" s="1"/>
  <c r="M192" i="14" s="1"/>
  <c r="N192" i="14" s="1"/>
  <c r="O192" i="14" s="1"/>
  <c r="P192" i="14" s="1"/>
  <c r="D193" i="14"/>
  <c r="F193" i="14"/>
  <c r="E193" i="14"/>
  <c r="A195" i="14"/>
  <c r="B194" i="14"/>
  <c r="L194" i="14"/>
  <c r="G193" i="14" l="1"/>
  <c r="H193" i="14" s="1"/>
  <c r="I193" i="14" s="1"/>
  <c r="K193" i="14" s="1"/>
  <c r="M193" i="14" s="1"/>
  <c r="N193" i="14" s="1"/>
  <c r="O193" i="14" s="1"/>
  <c r="P193" i="14" s="1"/>
  <c r="D194" i="14"/>
  <c r="E194" i="14"/>
  <c r="F194" i="14"/>
  <c r="A196" i="14"/>
  <c r="B195" i="14"/>
  <c r="L195" i="14"/>
  <c r="A197" i="14" l="1"/>
  <c r="B196" i="14"/>
  <c r="L196" i="14"/>
  <c r="D195" i="14"/>
  <c r="F195" i="14"/>
  <c r="E195" i="14"/>
  <c r="G194" i="14"/>
  <c r="G195" i="14" l="1"/>
  <c r="H195" i="14" s="1"/>
  <c r="I195" i="14" s="1"/>
  <c r="K195" i="14" s="1"/>
  <c r="M195" i="14" s="1"/>
  <c r="N195" i="14" s="1"/>
  <c r="O195" i="14" s="1"/>
  <c r="P195" i="14" s="1"/>
  <c r="H194" i="14"/>
  <c r="I194" i="14" s="1"/>
  <c r="K194" i="14" s="1"/>
  <c r="M194" i="14" s="1"/>
  <c r="N194" i="14" s="1"/>
  <c r="O194" i="14" s="1"/>
  <c r="P194" i="14" s="1"/>
  <c r="D196" i="14"/>
  <c r="F196" i="14"/>
  <c r="E196" i="14"/>
  <c r="A198" i="14"/>
  <c r="B197" i="14"/>
  <c r="L197" i="14"/>
  <c r="G196" i="14" l="1"/>
  <c r="H196" i="14" s="1"/>
  <c r="I196" i="14" s="1"/>
  <c r="K196" i="14" s="1"/>
  <c r="M196" i="14" s="1"/>
  <c r="N196" i="14" s="1"/>
  <c r="O196" i="14" s="1"/>
  <c r="P196" i="14" s="1"/>
  <c r="A199" i="14"/>
  <c r="B198" i="14"/>
  <c r="L198" i="14"/>
  <c r="D197" i="14"/>
  <c r="F197" i="14"/>
  <c r="E197" i="14"/>
  <c r="G197" i="14" l="1"/>
  <c r="H197" i="14" s="1"/>
  <c r="I197" i="14" s="1"/>
  <c r="K197" i="14" s="1"/>
  <c r="M197" i="14" s="1"/>
  <c r="N197" i="14" s="1"/>
  <c r="O197" i="14" s="1"/>
  <c r="P197" i="14" s="1"/>
  <c r="D198" i="14"/>
  <c r="F198" i="14"/>
  <c r="E198" i="14"/>
  <c r="A200" i="14"/>
  <c r="B199" i="14"/>
  <c r="L199" i="14"/>
  <c r="G198" i="14" l="1"/>
  <c r="H198" i="14" s="1"/>
  <c r="I198" i="14" s="1"/>
  <c r="K198" i="14" s="1"/>
  <c r="M198" i="14" s="1"/>
  <c r="N198" i="14" s="1"/>
  <c r="O198" i="14" s="1"/>
  <c r="P198" i="14" s="1"/>
  <c r="D199" i="14"/>
  <c r="F199" i="14"/>
  <c r="E199" i="14"/>
  <c r="A201" i="14"/>
  <c r="B200" i="14"/>
  <c r="L200" i="14"/>
  <c r="G199" i="14" l="1"/>
  <c r="H199" i="14" s="1"/>
  <c r="I199" i="14" s="1"/>
  <c r="K199" i="14" s="1"/>
  <c r="M199" i="14" s="1"/>
  <c r="N199" i="14" s="1"/>
  <c r="O199" i="14" s="1"/>
  <c r="P199" i="14" s="1"/>
  <c r="A202" i="14"/>
  <c r="B201" i="14"/>
  <c r="L201" i="14"/>
  <c r="D200" i="14"/>
  <c r="F200" i="14"/>
  <c r="E200" i="14"/>
  <c r="G200" i="14" l="1"/>
  <c r="H200" i="14" s="1"/>
  <c r="I200" i="14" s="1"/>
  <c r="K200" i="14" s="1"/>
  <c r="M200" i="14" s="1"/>
  <c r="N200" i="14" s="1"/>
  <c r="O200" i="14" s="1"/>
  <c r="P200" i="14" s="1"/>
  <c r="D201" i="14"/>
  <c r="F201" i="14"/>
  <c r="E201" i="14"/>
  <c r="A203" i="14"/>
  <c r="B202" i="14"/>
  <c r="L202" i="14"/>
  <c r="G201" i="14" l="1"/>
  <c r="H201" i="14" s="1"/>
  <c r="I201" i="14" s="1"/>
  <c r="K201" i="14" s="1"/>
  <c r="M201" i="14" s="1"/>
  <c r="N201" i="14" s="1"/>
  <c r="O201" i="14" s="1"/>
  <c r="P201" i="14" s="1"/>
  <c r="A204" i="14"/>
  <c r="B203" i="14"/>
  <c r="L203" i="14"/>
  <c r="D202" i="14"/>
  <c r="E202" i="14"/>
  <c r="F202" i="14"/>
  <c r="G202" i="14" l="1"/>
  <c r="H202" i="14" s="1"/>
  <c r="I202" i="14" s="1"/>
  <c r="K202" i="14" s="1"/>
  <c r="M202" i="14" s="1"/>
  <c r="N202" i="14" s="1"/>
  <c r="O202" i="14" s="1"/>
  <c r="P202" i="14" s="1"/>
  <c r="D203" i="14"/>
  <c r="F203" i="14"/>
  <c r="E203" i="14"/>
  <c r="A205" i="14"/>
  <c r="B204" i="14"/>
  <c r="L204" i="14"/>
  <c r="G203" i="14" l="1"/>
  <c r="H203" i="14" s="1"/>
  <c r="I203" i="14" s="1"/>
  <c r="K203" i="14" s="1"/>
  <c r="M203" i="14" s="1"/>
  <c r="N203" i="14" s="1"/>
  <c r="O203" i="14" s="1"/>
  <c r="P203" i="14" s="1"/>
  <c r="A206" i="14"/>
  <c r="B205" i="14"/>
  <c r="L205" i="14"/>
  <c r="D204" i="14"/>
  <c r="F204" i="14"/>
  <c r="E204" i="14"/>
  <c r="G204" i="14" l="1"/>
  <c r="H204" i="14" s="1"/>
  <c r="I204" i="14" s="1"/>
  <c r="K204" i="14" s="1"/>
  <c r="M204" i="14" s="1"/>
  <c r="N204" i="14" s="1"/>
  <c r="O204" i="14" s="1"/>
  <c r="P204" i="14" s="1"/>
  <c r="D205" i="14"/>
  <c r="F205" i="14"/>
  <c r="E205" i="14"/>
  <c r="A207" i="14"/>
  <c r="B206" i="14"/>
  <c r="L206" i="14"/>
  <c r="G205" i="14" l="1"/>
  <c r="H205" i="14" s="1"/>
  <c r="I205" i="14" s="1"/>
  <c r="K205" i="14" s="1"/>
  <c r="M205" i="14" s="1"/>
  <c r="N205" i="14" s="1"/>
  <c r="O205" i="14" s="1"/>
  <c r="P205" i="14" s="1"/>
  <c r="D206" i="14"/>
  <c r="F206" i="14"/>
  <c r="E206" i="14"/>
  <c r="A208" i="14"/>
  <c r="B207" i="14"/>
  <c r="L207" i="14"/>
  <c r="G206" i="14" l="1"/>
  <c r="H206" i="14" s="1"/>
  <c r="I206" i="14" s="1"/>
  <c r="K206" i="14" s="1"/>
  <c r="M206" i="14" s="1"/>
  <c r="N206" i="14" s="1"/>
  <c r="O206" i="14" s="1"/>
  <c r="P206" i="14" s="1"/>
  <c r="D207" i="14"/>
  <c r="E207" i="14"/>
  <c r="F207" i="14"/>
  <c r="A209" i="14"/>
  <c r="B208" i="14"/>
  <c r="L208" i="14"/>
  <c r="A210" i="14" l="1"/>
  <c r="B209" i="14"/>
  <c r="L209" i="14"/>
  <c r="D208" i="14"/>
  <c r="F208" i="14"/>
  <c r="E208" i="14"/>
  <c r="G207" i="14"/>
  <c r="H207" i="14" s="1"/>
  <c r="I207" i="14" s="1"/>
  <c r="K207" i="14" s="1"/>
  <c r="M207" i="14" s="1"/>
  <c r="N207" i="14" s="1"/>
  <c r="O207" i="14" s="1"/>
  <c r="P207" i="14" s="1"/>
  <c r="G208" i="14" l="1"/>
  <c r="H208" i="14" s="1"/>
  <c r="I208" i="14" s="1"/>
  <c r="K208" i="14" s="1"/>
  <c r="M208" i="14" s="1"/>
  <c r="N208" i="14" s="1"/>
  <c r="O208" i="14" s="1"/>
  <c r="P208" i="14" s="1"/>
  <c r="D209" i="14"/>
  <c r="F209" i="14"/>
  <c r="E209" i="14"/>
  <c r="A211" i="14"/>
  <c r="B210" i="14"/>
  <c r="L210" i="14"/>
  <c r="G209" i="14" l="1"/>
  <c r="H209" i="14" s="1"/>
  <c r="I209" i="14" s="1"/>
  <c r="K209" i="14" s="1"/>
  <c r="M209" i="14" s="1"/>
  <c r="N209" i="14" s="1"/>
  <c r="O209" i="14" s="1"/>
  <c r="P209" i="14" s="1"/>
  <c r="D210" i="14"/>
  <c r="F210" i="14"/>
  <c r="E210" i="14"/>
  <c r="A212" i="14"/>
  <c r="B211" i="14"/>
  <c r="L211" i="14"/>
  <c r="G210" i="14" l="1"/>
  <c r="H210" i="14" s="1"/>
  <c r="I210" i="14" s="1"/>
  <c r="K210" i="14" s="1"/>
  <c r="M210" i="14" s="1"/>
  <c r="N210" i="14" s="1"/>
  <c r="O210" i="14" s="1"/>
  <c r="P210" i="14" s="1"/>
  <c r="D211" i="14"/>
  <c r="E211" i="14"/>
  <c r="F211" i="14"/>
  <c r="A213" i="14"/>
  <c r="B212" i="14"/>
  <c r="L212" i="14"/>
  <c r="A214" i="14" l="1"/>
  <c r="B213" i="14"/>
  <c r="L213" i="14"/>
  <c r="D212" i="14"/>
  <c r="F212" i="14"/>
  <c r="E212" i="14"/>
  <c r="G211" i="14"/>
  <c r="G212" i="14" l="1"/>
  <c r="H212" i="14" s="1"/>
  <c r="I212" i="14" s="1"/>
  <c r="K212" i="14" s="1"/>
  <c r="M212" i="14" s="1"/>
  <c r="N212" i="14" s="1"/>
  <c r="O212" i="14" s="1"/>
  <c r="P212" i="14" s="1"/>
  <c r="H211" i="14"/>
  <c r="I211" i="14" s="1"/>
  <c r="K211" i="14" s="1"/>
  <c r="M211" i="14" s="1"/>
  <c r="N211" i="14" s="1"/>
  <c r="O211" i="14" s="1"/>
  <c r="P211" i="14" s="1"/>
  <c r="D213" i="14"/>
  <c r="F213" i="14"/>
  <c r="E213" i="14"/>
  <c r="A215" i="14"/>
  <c r="B214" i="14"/>
  <c r="L214" i="14"/>
  <c r="G213" i="14" l="1"/>
  <c r="H213" i="14" s="1"/>
  <c r="I213" i="14" s="1"/>
  <c r="K213" i="14" s="1"/>
  <c r="M213" i="14" s="1"/>
  <c r="N213" i="14" s="1"/>
  <c r="O213" i="14" s="1"/>
  <c r="P213" i="14" s="1"/>
  <c r="D214" i="14"/>
  <c r="F214" i="14"/>
  <c r="E214" i="14"/>
  <c r="A216" i="14"/>
  <c r="B215" i="14"/>
  <c r="L215" i="14"/>
  <c r="G214" i="14" l="1"/>
  <c r="H214" i="14" s="1"/>
  <c r="I214" i="14" s="1"/>
  <c r="K214" i="14" s="1"/>
  <c r="M214" i="14" s="1"/>
  <c r="D215" i="14"/>
  <c r="F215" i="14"/>
  <c r="E215" i="14"/>
  <c r="A217" i="14"/>
  <c r="B216" i="14"/>
  <c r="L216" i="14"/>
  <c r="G215" i="14" l="1"/>
  <c r="H215" i="14" s="1"/>
  <c r="I215" i="14" s="1"/>
  <c r="K215" i="14" s="1"/>
  <c r="M215" i="14" s="1"/>
  <c r="N215" i="14" s="1"/>
  <c r="O215" i="14" s="1"/>
  <c r="P215" i="14" s="1"/>
  <c r="N214" i="14"/>
  <c r="O214" i="14" s="1"/>
  <c r="P214" i="14" s="1"/>
  <c r="D216" i="14"/>
  <c r="F216" i="14"/>
  <c r="E216" i="14"/>
  <c r="A218" i="14"/>
  <c r="B217" i="14"/>
  <c r="L217" i="14"/>
  <c r="G216" i="14" l="1"/>
  <c r="H216" i="14" s="1"/>
  <c r="I216" i="14" s="1"/>
  <c r="K216" i="14" s="1"/>
  <c r="M216" i="14" s="1"/>
  <c r="N216" i="14" s="1"/>
  <c r="O216" i="14" s="1"/>
  <c r="P216" i="14" s="1"/>
  <c r="A219" i="14"/>
  <c r="B218" i="14"/>
  <c r="L218" i="14"/>
  <c r="D217" i="14"/>
  <c r="F217" i="14"/>
  <c r="E217" i="14"/>
  <c r="G217" i="14" l="1"/>
  <c r="H217" i="14" s="1"/>
  <c r="I217" i="14" s="1"/>
  <c r="K217" i="14" s="1"/>
  <c r="M217" i="14" s="1"/>
  <c r="N217" i="14" s="1"/>
  <c r="O217" i="14" s="1"/>
  <c r="P217" i="14" s="1"/>
  <c r="D218" i="14"/>
  <c r="F218" i="14"/>
  <c r="E218" i="14"/>
  <c r="A220" i="14"/>
  <c r="B219" i="14"/>
  <c r="L219" i="14"/>
  <c r="G218" i="14" l="1"/>
  <c r="H218" i="14" s="1"/>
  <c r="I218" i="14" s="1"/>
  <c r="K218" i="14" s="1"/>
  <c r="M218" i="14" s="1"/>
  <c r="N218" i="14" s="1"/>
  <c r="O218" i="14" s="1"/>
  <c r="P218" i="14" s="1"/>
  <c r="A221" i="14"/>
  <c r="B220" i="14"/>
  <c r="L220" i="14"/>
  <c r="D219" i="14"/>
  <c r="F219" i="14"/>
  <c r="E219" i="14"/>
  <c r="G219" i="14" l="1"/>
  <c r="H219" i="14" s="1"/>
  <c r="I219" i="14" s="1"/>
  <c r="K219" i="14" s="1"/>
  <c r="M219" i="14" s="1"/>
  <c r="N219" i="14" s="1"/>
  <c r="O219" i="14" s="1"/>
  <c r="P219" i="14" s="1"/>
  <c r="D220" i="14"/>
  <c r="F220" i="14"/>
  <c r="E220" i="14"/>
  <c r="A222" i="14"/>
  <c r="B221" i="14"/>
  <c r="L221" i="14"/>
  <c r="G220" i="14" l="1"/>
  <c r="H220" i="14" s="1"/>
  <c r="I220" i="14" s="1"/>
  <c r="K220" i="14" s="1"/>
  <c r="M220" i="14" s="1"/>
  <c r="N220" i="14" s="1"/>
  <c r="O220" i="14" s="1"/>
  <c r="P220" i="14" s="1"/>
  <c r="D221" i="14"/>
  <c r="F221" i="14"/>
  <c r="E221" i="14"/>
  <c r="A223" i="14"/>
  <c r="B222" i="14"/>
  <c r="L222" i="14"/>
  <c r="G221" i="14" l="1"/>
  <c r="H221" i="14" s="1"/>
  <c r="I221" i="14" s="1"/>
  <c r="K221" i="14" s="1"/>
  <c r="M221" i="14" s="1"/>
  <c r="D222" i="14"/>
  <c r="F222" i="14"/>
  <c r="E222" i="14"/>
  <c r="A224" i="14"/>
  <c r="B223" i="14"/>
  <c r="L223" i="14"/>
  <c r="G222" i="14" l="1"/>
  <c r="H222" i="14" s="1"/>
  <c r="I222" i="14" s="1"/>
  <c r="K222" i="14" s="1"/>
  <c r="M222" i="14" s="1"/>
  <c r="N222" i="14" s="1"/>
  <c r="O222" i="14" s="1"/>
  <c r="P222" i="14" s="1"/>
  <c r="N221" i="14"/>
  <c r="O221" i="14" s="1"/>
  <c r="P221" i="14" s="1"/>
  <c r="A225" i="14"/>
  <c r="B224" i="14"/>
  <c r="L224" i="14"/>
  <c r="D223" i="14"/>
  <c r="F223" i="14"/>
  <c r="E223" i="14"/>
  <c r="G223" i="14" l="1"/>
  <c r="H223" i="14" s="1"/>
  <c r="I223" i="14" s="1"/>
  <c r="K223" i="14" s="1"/>
  <c r="M223" i="14" s="1"/>
  <c r="D224" i="14"/>
  <c r="F224" i="14"/>
  <c r="E224" i="14"/>
  <c r="A226" i="14"/>
  <c r="B225" i="14"/>
  <c r="L225" i="14"/>
  <c r="G224" i="14" l="1"/>
  <c r="H224" i="14" s="1"/>
  <c r="I224" i="14" s="1"/>
  <c r="K224" i="14" s="1"/>
  <c r="M224" i="14" s="1"/>
  <c r="N224" i="14" s="1"/>
  <c r="O224" i="14" s="1"/>
  <c r="P224" i="14" s="1"/>
  <c r="A227" i="14"/>
  <c r="B226" i="14"/>
  <c r="L226" i="14"/>
  <c r="N223" i="14"/>
  <c r="O223" i="14" s="1"/>
  <c r="P223" i="14" s="1"/>
  <c r="D225" i="14"/>
  <c r="E225" i="14"/>
  <c r="F225" i="14"/>
  <c r="D226" i="14" l="1"/>
  <c r="F226" i="14"/>
  <c r="E226" i="14"/>
  <c r="G225" i="14"/>
  <c r="H225" i="14" s="1"/>
  <c r="I225" i="14" s="1"/>
  <c r="K225" i="14" s="1"/>
  <c r="M225" i="14" s="1"/>
  <c r="N225" i="14" s="1"/>
  <c r="O225" i="14" s="1"/>
  <c r="P225" i="14" s="1"/>
  <c r="A228" i="14"/>
  <c r="B227" i="14"/>
  <c r="L227" i="14"/>
  <c r="D227" i="14" l="1"/>
  <c r="F227" i="14"/>
  <c r="E227" i="14"/>
  <c r="A229" i="14"/>
  <c r="B228" i="14"/>
  <c r="L228" i="14"/>
  <c r="G226" i="14"/>
  <c r="H226" i="14" s="1"/>
  <c r="I226" i="14" s="1"/>
  <c r="K226" i="14" s="1"/>
  <c r="M226" i="14" s="1"/>
  <c r="N226" i="14" s="1"/>
  <c r="O226" i="14" s="1"/>
  <c r="P226" i="14" s="1"/>
  <c r="G227" i="14" l="1"/>
  <c r="H227" i="14" s="1"/>
  <c r="I227" i="14" s="1"/>
  <c r="K227" i="14" s="1"/>
  <c r="M227" i="14" s="1"/>
  <c r="D228" i="14"/>
  <c r="F228" i="14"/>
  <c r="E228" i="14"/>
  <c r="A230" i="14"/>
  <c r="B229" i="14"/>
  <c r="L229" i="14"/>
  <c r="G228" i="14" l="1"/>
  <c r="H228" i="14" s="1"/>
  <c r="I228" i="14" s="1"/>
  <c r="K228" i="14" s="1"/>
  <c r="M228" i="14" s="1"/>
  <c r="N228" i="14" s="1"/>
  <c r="O228" i="14" s="1"/>
  <c r="P228" i="14" s="1"/>
  <c r="N227" i="14"/>
  <c r="O227" i="14" s="1"/>
  <c r="P227" i="14" s="1"/>
  <c r="D229" i="14"/>
  <c r="F229" i="14"/>
  <c r="E229" i="14"/>
  <c r="A231" i="14"/>
  <c r="B230" i="14"/>
  <c r="L230" i="14"/>
  <c r="G229" i="14" l="1"/>
  <c r="H229" i="14" s="1"/>
  <c r="I229" i="14" s="1"/>
  <c r="K229" i="14" s="1"/>
  <c r="M229" i="14" s="1"/>
  <c r="N229" i="14" s="1"/>
  <c r="O229" i="14" s="1"/>
  <c r="P229" i="14" s="1"/>
  <c r="D230" i="14"/>
  <c r="F230" i="14"/>
  <c r="E230" i="14"/>
  <c r="A232" i="14"/>
  <c r="B231" i="14"/>
  <c r="L231" i="14"/>
  <c r="G230" i="14" l="1"/>
  <c r="H230" i="14" s="1"/>
  <c r="I230" i="14" s="1"/>
  <c r="K230" i="14" s="1"/>
  <c r="M230" i="14" s="1"/>
  <c r="N230" i="14" s="1"/>
  <c r="O230" i="14" s="1"/>
  <c r="P230" i="14" s="1"/>
  <c r="D231" i="14"/>
  <c r="F231" i="14"/>
  <c r="E231" i="14"/>
  <c r="A233" i="14"/>
  <c r="B232" i="14"/>
  <c r="L232" i="14"/>
  <c r="G231" i="14" l="1"/>
  <c r="H231" i="14" s="1"/>
  <c r="I231" i="14" s="1"/>
  <c r="K231" i="14" s="1"/>
  <c r="M231" i="14" s="1"/>
  <c r="N231" i="14" s="1"/>
  <c r="O231" i="14" s="1"/>
  <c r="P231" i="14" s="1"/>
  <c r="D232" i="14"/>
  <c r="F232" i="14"/>
  <c r="E232" i="14"/>
  <c r="A234" i="14"/>
  <c r="B233" i="14"/>
  <c r="L233" i="14"/>
  <c r="G232" i="14" l="1"/>
  <c r="H232" i="14" s="1"/>
  <c r="I232" i="14" s="1"/>
  <c r="K232" i="14" s="1"/>
  <c r="M232" i="14" s="1"/>
  <c r="N232" i="14" s="1"/>
  <c r="O232" i="14" s="1"/>
  <c r="P232" i="14" s="1"/>
  <c r="D233" i="14"/>
  <c r="F233" i="14"/>
  <c r="E233" i="14"/>
  <c r="A235" i="14"/>
  <c r="B234" i="14"/>
  <c r="L234" i="14"/>
  <c r="G233" i="14" l="1"/>
  <c r="H233" i="14" s="1"/>
  <c r="I233" i="14" s="1"/>
  <c r="K233" i="14" s="1"/>
  <c r="M233" i="14" s="1"/>
  <c r="N233" i="14" s="1"/>
  <c r="O233" i="14" s="1"/>
  <c r="P233" i="14" s="1"/>
  <c r="D234" i="14"/>
  <c r="F234" i="14"/>
  <c r="E234" i="14"/>
  <c r="A236" i="14"/>
  <c r="B235" i="14"/>
  <c r="L235" i="14"/>
  <c r="G234" i="14" l="1"/>
  <c r="H234" i="14" s="1"/>
  <c r="I234" i="14" s="1"/>
  <c r="K234" i="14" s="1"/>
  <c r="M234" i="14" s="1"/>
  <c r="N234" i="14" s="1"/>
  <c r="O234" i="14" s="1"/>
  <c r="P234" i="14" s="1"/>
  <c r="A237" i="14"/>
  <c r="B236" i="14"/>
  <c r="L236" i="14"/>
  <c r="D235" i="14"/>
  <c r="E235" i="14"/>
  <c r="F235" i="14"/>
  <c r="G235" i="14" l="1"/>
  <c r="H235" i="14" s="1"/>
  <c r="I235" i="14" s="1"/>
  <c r="K235" i="14" s="1"/>
  <c r="M235" i="14" s="1"/>
  <c r="N235" i="14" s="1"/>
  <c r="O235" i="14" s="1"/>
  <c r="P235" i="14" s="1"/>
  <c r="D236" i="14"/>
  <c r="F236" i="14"/>
  <c r="E236" i="14"/>
  <c r="A238" i="14"/>
  <c r="B237" i="14"/>
  <c r="L237" i="14"/>
  <c r="G236" i="14" l="1"/>
  <c r="H236" i="14" s="1"/>
  <c r="I236" i="14" s="1"/>
  <c r="K236" i="14" s="1"/>
  <c r="M236" i="14" s="1"/>
  <c r="N236" i="14" s="1"/>
  <c r="O236" i="14" s="1"/>
  <c r="P236" i="14" s="1"/>
  <c r="D237" i="14"/>
  <c r="F237" i="14"/>
  <c r="E237" i="14"/>
  <c r="A239" i="14"/>
  <c r="B238" i="14"/>
  <c r="L238" i="14"/>
  <c r="G237" i="14" l="1"/>
  <c r="H237" i="14" s="1"/>
  <c r="I237" i="14" s="1"/>
  <c r="K237" i="14" s="1"/>
  <c r="M237" i="14" s="1"/>
  <c r="N237" i="14" s="1"/>
  <c r="O237" i="14" s="1"/>
  <c r="P237" i="14" s="1"/>
  <c r="D238" i="14"/>
  <c r="F238" i="14"/>
  <c r="E238" i="14"/>
  <c r="A240" i="14"/>
  <c r="B239" i="14"/>
  <c r="L239" i="14"/>
  <c r="G238" i="14" l="1"/>
  <c r="H238" i="14" s="1"/>
  <c r="I238" i="14" s="1"/>
  <c r="K238" i="14" s="1"/>
  <c r="M238" i="14" s="1"/>
  <c r="N238" i="14" s="1"/>
  <c r="O238" i="14" s="1"/>
  <c r="P238" i="14" s="1"/>
  <c r="A241" i="14"/>
  <c r="B240" i="14"/>
  <c r="L240" i="14"/>
  <c r="D239" i="14"/>
  <c r="E239" i="14"/>
  <c r="F239" i="14"/>
  <c r="G239" i="14" l="1"/>
  <c r="H239" i="14" s="1"/>
  <c r="I239" i="14" s="1"/>
  <c r="K239" i="14" s="1"/>
  <c r="M239" i="14" s="1"/>
  <c r="N239" i="14" s="1"/>
  <c r="O239" i="14" s="1"/>
  <c r="P239" i="14" s="1"/>
  <c r="D240" i="14"/>
  <c r="F240" i="14"/>
  <c r="E240" i="14"/>
  <c r="A242" i="14"/>
  <c r="B241" i="14"/>
  <c r="L241" i="14"/>
  <c r="G240" i="14" l="1"/>
  <c r="H240" i="14" s="1"/>
  <c r="I240" i="14" s="1"/>
  <c r="K240" i="14" s="1"/>
  <c r="M240" i="14" s="1"/>
  <c r="N240" i="14" s="1"/>
  <c r="O240" i="14" s="1"/>
  <c r="P240" i="14" s="1"/>
  <c r="A243" i="14"/>
  <c r="B242" i="14"/>
  <c r="L242" i="14"/>
  <c r="D241" i="14"/>
  <c r="F241" i="14"/>
  <c r="E241" i="14"/>
  <c r="G241" i="14" l="1"/>
  <c r="H241" i="14" s="1"/>
  <c r="I241" i="14" s="1"/>
  <c r="K241" i="14" s="1"/>
  <c r="M241" i="14" s="1"/>
  <c r="N241" i="14" s="1"/>
  <c r="O241" i="14" s="1"/>
  <c r="P241" i="14" s="1"/>
  <c r="D242" i="14"/>
  <c r="E242" i="14"/>
  <c r="F242" i="14"/>
  <c r="A244" i="14"/>
  <c r="B243" i="14"/>
  <c r="L243" i="14"/>
  <c r="A245" i="14" l="1"/>
  <c r="B244" i="14"/>
  <c r="L244" i="14"/>
  <c r="D243" i="14"/>
  <c r="E243" i="14"/>
  <c r="F243" i="14"/>
  <c r="G242" i="14"/>
  <c r="H242" i="14" l="1"/>
  <c r="I242" i="14" s="1"/>
  <c r="K242" i="14" s="1"/>
  <c r="M242" i="14" s="1"/>
  <c r="N242" i="14" s="1"/>
  <c r="O242" i="14" s="1"/>
  <c r="P242" i="14" s="1"/>
  <c r="G243" i="14"/>
  <c r="H243" i="14" s="1"/>
  <c r="I243" i="14" s="1"/>
  <c r="K243" i="14" s="1"/>
  <c r="M243" i="14" s="1"/>
  <c r="N243" i="14" s="1"/>
  <c r="O243" i="14" s="1"/>
  <c r="P243" i="14" s="1"/>
  <c r="D244" i="14"/>
  <c r="F244" i="14"/>
  <c r="E244" i="14"/>
  <c r="A246" i="14"/>
  <c r="B245" i="14"/>
  <c r="L245" i="14"/>
  <c r="G244" i="14" l="1"/>
  <c r="H244" i="14" s="1"/>
  <c r="I244" i="14" s="1"/>
  <c r="K244" i="14" s="1"/>
  <c r="M244" i="14" s="1"/>
  <c r="N244" i="14" s="1"/>
  <c r="O244" i="14" s="1"/>
  <c r="P244" i="14" s="1"/>
  <c r="D245" i="14"/>
  <c r="F245" i="14"/>
  <c r="E245" i="14"/>
  <c r="A247" i="14"/>
  <c r="B246" i="14"/>
  <c r="L246" i="14"/>
  <c r="G245" i="14" l="1"/>
  <c r="H245" i="14" s="1"/>
  <c r="I245" i="14" s="1"/>
  <c r="K245" i="14" s="1"/>
  <c r="M245" i="14" s="1"/>
  <c r="N245" i="14" s="1"/>
  <c r="O245" i="14" s="1"/>
  <c r="P245" i="14" s="1"/>
  <c r="D246" i="14"/>
  <c r="F246" i="14"/>
  <c r="E246" i="14"/>
  <c r="A248" i="14"/>
  <c r="B247" i="14"/>
  <c r="L247" i="14"/>
  <c r="G246" i="14" l="1"/>
  <c r="H246" i="14" s="1"/>
  <c r="I246" i="14" s="1"/>
  <c r="K246" i="14" s="1"/>
  <c r="M246" i="14" s="1"/>
  <c r="N246" i="14" s="1"/>
  <c r="O246" i="14" s="1"/>
  <c r="P246" i="14" s="1"/>
  <c r="D247" i="14"/>
  <c r="F247" i="14"/>
  <c r="E247" i="14"/>
  <c r="A249" i="14"/>
  <c r="B248" i="14"/>
  <c r="L248" i="14"/>
  <c r="G247" i="14" l="1"/>
  <c r="H247" i="14" s="1"/>
  <c r="I247" i="14" s="1"/>
  <c r="K247" i="14" s="1"/>
  <c r="M247" i="14" s="1"/>
  <c r="N247" i="14" s="1"/>
  <c r="O247" i="14" s="1"/>
  <c r="P247" i="14" s="1"/>
  <c r="D248" i="14"/>
  <c r="F248" i="14"/>
  <c r="E248" i="14"/>
  <c r="A250" i="14"/>
  <c r="B249" i="14"/>
  <c r="L249" i="14"/>
  <c r="G248" i="14" l="1"/>
  <c r="H248" i="14" s="1"/>
  <c r="I248" i="14" s="1"/>
  <c r="K248" i="14" s="1"/>
  <c r="M248" i="14" s="1"/>
  <c r="N248" i="14" s="1"/>
  <c r="O248" i="14" s="1"/>
  <c r="P248" i="14" s="1"/>
  <c r="A251" i="14"/>
  <c r="B250" i="14"/>
  <c r="L250" i="14"/>
  <c r="D249" i="14"/>
  <c r="F249" i="14"/>
  <c r="E249" i="14"/>
  <c r="G249" i="14" l="1"/>
  <c r="H249" i="14" s="1"/>
  <c r="I249" i="14" s="1"/>
  <c r="K249" i="14" s="1"/>
  <c r="M249" i="14" s="1"/>
  <c r="N249" i="14" s="1"/>
  <c r="O249" i="14" s="1"/>
  <c r="P249" i="14" s="1"/>
  <c r="D250" i="14"/>
  <c r="F250" i="14"/>
  <c r="E250" i="14"/>
  <c r="A252" i="14"/>
  <c r="B251" i="14"/>
  <c r="L251" i="14"/>
  <c r="G250" i="14" l="1"/>
  <c r="H250" i="14" s="1"/>
  <c r="I250" i="14" s="1"/>
  <c r="K250" i="14" s="1"/>
  <c r="M250" i="14" s="1"/>
  <c r="N250" i="14" s="1"/>
  <c r="O250" i="14" s="1"/>
  <c r="P250" i="14" s="1"/>
  <c r="D251" i="14"/>
  <c r="F251" i="14"/>
  <c r="E251" i="14"/>
  <c r="A253" i="14"/>
  <c r="B252" i="14"/>
  <c r="L252" i="14"/>
  <c r="G251" i="14" l="1"/>
  <c r="H251" i="14" s="1"/>
  <c r="I251" i="14" s="1"/>
  <c r="K251" i="14" s="1"/>
  <c r="M251" i="14" s="1"/>
  <c r="N251" i="14" s="1"/>
  <c r="O251" i="14" s="1"/>
  <c r="P251" i="14" s="1"/>
  <c r="D252" i="14"/>
  <c r="F252" i="14"/>
  <c r="E252" i="14"/>
  <c r="A254" i="14"/>
  <c r="B253" i="14"/>
  <c r="L253" i="14"/>
  <c r="G252" i="14" l="1"/>
  <c r="H252" i="14" s="1"/>
  <c r="I252" i="14" s="1"/>
  <c r="K252" i="14" s="1"/>
  <c r="M252" i="14" s="1"/>
  <c r="N252" i="14" s="1"/>
  <c r="O252" i="14" s="1"/>
  <c r="P252" i="14" s="1"/>
  <c r="D253" i="14"/>
  <c r="F253" i="14"/>
  <c r="E253" i="14"/>
  <c r="A255" i="14"/>
  <c r="B254" i="14"/>
  <c r="L254" i="14"/>
  <c r="G253" i="14" l="1"/>
  <c r="H253" i="14" s="1"/>
  <c r="I253" i="14" s="1"/>
  <c r="K253" i="14" s="1"/>
  <c r="M253" i="14" s="1"/>
  <c r="N253" i="14" s="1"/>
  <c r="O253" i="14" s="1"/>
  <c r="P253" i="14" s="1"/>
  <c r="A256" i="14"/>
  <c r="B255" i="14"/>
  <c r="L255" i="14"/>
  <c r="D254" i="14"/>
  <c r="F254" i="14"/>
  <c r="E254" i="14"/>
  <c r="G254" i="14" l="1"/>
  <c r="H254" i="14" s="1"/>
  <c r="I254" i="14" s="1"/>
  <c r="K254" i="14" s="1"/>
  <c r="M254" i="14" s="1"/>
  <c r="N254" i="14" s="1"/>
  <c r="O254" i="14" s="1"/>
  <c r="P254" i="14" s="1"/>
  <c r="D255" i="14"/>
  <c r="F255" i="14"/>
  <c r="E255" i="14"/>
  <c r="A257" i="14"/>
  <c r="B256" i="14"/>
  <c r="L256" i="14"/>
  <c r="G255" i="14" l="1"/>
  <c r="H255" i="14" s="1"/>
  <c r="I255" i="14" s="1"/>
  <c r="K255" i="14" s="1"/>
  <c r="M255" i="14" s="1"/>
  <c r="N255" i="14" s="1"/>
  <c r="O255" i="14" s="1"/>
  <c r="P255" i="14" s="1"/>
  <c r="D256" i="14"/>
  <c r="F256" i="14"/>
  <c r="E256" i="14"/>
  <c r="A258" i="14"/>
  <c r="B257" i="14"/>
  <c r="L257" i="14"/>
  <c r="G256" i="14" l="1"/>
  <c r="H256" i="14" s="1"/>
  <c r="I256" i="14" s="1"/>
  <c r="K256" i="14" s="1"/>
  <c r="M256" i="14" s="1"/>
  <c r="N256" i="14" s="1"/>
  <c r="O256" i="14" s="1"/>
  <c r="P256" i="14" s="1"/>
  <c r="A259" i="14"/>
  <c r="B258" i="14"/>
  <c r="L258" i="14"/>
  <c r="D257" i="14"/>
  <c r="E257" i="14"/>
  <c r="F257" i="14"/>
  <c r="G257" i="14" l="1"/>
  <c r="H257" i="14" s="1"/>
  <c r="I257" i="14" s="1"/>
  <c r="K257" i="14" s="1"/>
  <c r="M257" i="14" s="1"/>
  <c r="N257" i="14" s="1"/>
  <c r="O257" i="14" s="1"/>
  <c r="P257" i="14" s="1"/>
  <c r="D258" i="14"/>
  <c r="E258" i="14"/>
  <c r="F258" i="14"/>
  <c r="A260" i="14"/>
  <c r="B259" i="14"/>
  <c r="L259" i="14"/>
  <c r="D259" i="14" l="1"/>
  <c r="F259" i="14"/>
  <c r="E259" i="14"/>
  <c r="A261" i="14"/>
  <c r="B260" i="14"/>
  <c r="L260" i="14"/>
  <c r="G258" i="14"/>
  <c r="H258" i="14" s="1"/>
  <c r="I258" i="14" s="1"/>
  <c r="K258" i="14" s="1"/>
  <c r="M258" i="14" s="1"/>
  <c r="N258" i="14" s="1"/>
  <c r="O258" i="14" s="1"/>
  <c r="P258" i="14" s="1"/>
  <c r="G259" i="14" l="1"/>
  <c r="H259" i="14" s="1"/>
  <c r="I259" i="14" s="1"/>
  <c r="K259" i="14" s="1"/>
  <c r="M259" i="14" s="1"/>
  <c r="N259" i="14" s="1"/>
  <c r="O259" i="14" s="1"/>
  <c r="P259" i="14" s="1"/>
  <c r="D260" i="14"/>
  <c r="F260" i="14"/>
  <c r="E260" i="14"/>
  <c r="A262" i="14"/>
  <c r="B261" i="14"/>
  <c r="L261" i="14"/>
  <c r="G260" i="14" l="1"/>
  <c r="H260" i="14" s="1"/>
  <c r="I260" i="14" s="1"/>
  <c r="K260" i="14" s="1"/>
  <c r="M260" i="14" s="1"/>
  <c r="N260" i="14" s="1"/>
  <c r="O260" i="14" s="1"/>
  <c r="P260" i="14" s="1"/>
  <c r="D261" i="14"/>
  <c r="F261" i="14"/>
  <c r="E261" i="14"/>
  <c r="A263" i="14"/>
  <c r="B262" i="14"/>
  <c r="L262" i="14"/>
  <c r="G261" i="14" l="1"/>
  <c r="H261" i="14" s="1"/>
  <c r="I261" i="14" s="1"/>
  <c r="K261" i="14" s="1"/>
  <c r="M261" i="14" s="1"/>
  <c r="N261" i="14" s="1"/>
  <c r="O261" i="14" s="1"/>
  <c r="P261" i="14" s="1"/>
  <c r="D262" i="14"/>
  <c r="F262" i="14"/>
  <c r="E262" i="14"/>
  <c r="A264" i="14"/>
  <c r="B263" i="14"/>
  <c r="L263" i="14"/>
  <c r="G262" i="14" l="1"/>
  <c r="H262" i="14" s="1"/>
  <c r="I262" i="14" s="1"/>
  <c r="K262" i="14" s="1"/>
  <c r="M262" i="14" s="1"/>
  <c r="N262" i="14" s="1"/>
  <c r="O262" i="14" s="1"/>
  <c r="P262" i="14" s="1"/>
  <c r="D263" i="14"/>
  <c r="F263" i="14"/>
  <c r="E263" i="14"/>
  <c r="A265" i="14"/>
  <c r="B264" i="14"/>
  <c r="L264" i="14"/>
  <c r="G263" i="14" l="1"/>
  <c r="H263" i="14" s="1"/>
  <c r="I263" i="14" s="1"/>
  <c r="K263" i="14" s="1"/>
  <c r="M263" i="14" s="1"/>
  <c r="N263" i="14" s="1"/>
  <c r="O263" i="14" s="1"/>
  <c r="P263" i="14" s="1"/>
  <c r="D264" i="14"/>
  <c r="F264" i="14"/>
  <c r="E264" i="14"/>
  <c r="A266" i="14"/>
  <c r="B265" i="14"/>
  <c r="L265" i="14"/>
  <c r="G264" i="14" l="1"/>
  <c r="H264" i="14" s="1"/>
  <c r="I264" i="14" s="1"/>
  <c r="K264" i="14" s="1"/>
  <c r="M264" i="14" s="1"/>
  <c r="N264" i="14" s="1"/>
  <c r="O264" i="14" s="1"/>
  <c r="P264" i="14" s="1"/>
  <c r="D265" i="14"/>
  <c r="F265" i="14"/>
  <c r="E265" i="14"/>
  <c r="A267" i="14"/>
  <c r="B266" i="14"/>
  <c r="L266" i="14"/>
  <c r="G265" i="14" l="1"/>
  <c r="H265" i="14" s="1"/>
  <c r="I265" i="14" s="1"/>
  <c r="K265" i="14" s="1"/>
  <c r="M265" i="14" s="1"/>
  <c r="N265" i="14" s="1"/>
  <c r="O265" i="14" s="1"/>
  <c r="P265" i="14" s="1"/>
  <c r="D266" i="14"/>
  <c r="F266" i="14"/>
  <c r="E266" i="14"/>
  <c r="A268" i="14"/>
  <c r="B267" i="14"/>
  <c r="L267" i="14"/>
  <c r="G266" i="14" l="1"/>
  <c r="H266" i="14" s="1"/>
  <c r="I266" i="14" s="1"/>
  <c r="K266" i="14" s="1"/>
  <c r="M266" i="14" s="1"/>
  <c r="N266" i="14" s="1"/>
  <c r="O266" i="14" s="1"/>
  <c r="P266" i="14" s="1"/>
  <c r="D267" i="14"/>
  <c r="F267" i="14"/>
  <c r="E267" i="14"/>
  <c r="A269" i="14"/>
  <c r="B268" i="14"/>
  <c r="L268" i="14"/>
  <c r="G267" i="14" l="1"/>
  <c r="H267" i="14" s="1"/>
  <c r="I267" i="14" s="1"/>
  <c r="K267" i="14" s="1"/>
  <c r="M267" i="14" s="1"/>
  <c r="N267" i="14" s="1"/>
  <c r="O267" i="14" s="1"/>
  <c r="P267" i="14" s="1"/>
  <c r="D268" i="14"/>
  <c r="F268" i="14"/>
  <c r="E268" i="14"/>
  <c r="A270" i="14"/>
  <c r="B269" i="14"/>
  <c r="L269" i="14"/>
  <c r="G268" i="14" l="1"/>
  <c r="H268" i="14" s="1"/>
  <c r="I268" i="14" s="1"/>
  <c r="K268" i="14" s="1"/>
  <c r="M268" i="14" s="1"/>
  <c r="N268" i="14" s="1"/>
  <c r="O268" i="14" s="1"/>
  <c r="P268" i="14" s="1"/>
  <c r="A271" i="14"/>
  <c r="B270" i="14"/>
  <c r="L270" i="14"/>
  <c r="D269" i="14"/>
  <c r="F269" i="14"/>
  <c r="E269" i="14"/>
  <c r="G269" i="14" l="1"/>
  <c r="H269" i="14" s="1"/>
  <c r="I269" i="14" s="1"/>
  <c r="K269" i="14" s="1"/>
  <c r="M269" i="14" s="1"/>
  <c r="N269" i="14" s="1"/>
  <c r="O269" i="14" s="1"/>
  <c r="P269" i="14" s="1"/>
  <c r="D270" i="14"/>
  <c r="F270" i="14"/>
  <c r="E270" i="14"/>
  <c r="A272" i="14"/>
  <c r="B271" i="14"/>
  <c r="L271" i="14"/>
  <c r="G270" i="14" l="1"/>
  <c r="H270" i="14" s="1"/>
  <c r="I270" i="14" s="1"/>
  <c r="K270" i="14" s="1"/>
  <c r="M270" i="14" s="1"/>
  <c r="N270" i="14" s="1"/>
  <c r="O270" i="14" s="1"/>
  <c r="P270" i="14" s="1"/>
  <c r="D271" i="14"/>
  <c r="E271" i="14"/>
  <c r="F271" i="14"/>
  <c r="A273" i="14"/>
  <c r="B272" i="14"/>
  <c r="L272" i="14"/>
  <c r="G271" i="14" l="1"/>
  <c r="H271" i="14" s="1"/>
  <c r="I271" i="14" s="1"/>
  <c r="K271" i="14" s="1"/>
  <c r="M271" i="14" s="1"/>
  <c r="N271" i="14" s="1"/>
  <c r="O271" i="14" s="1"/>
  <c r="P271" i="14" s="1"/>
  <c r="A274" i="14"/>
  <c r="B273" i="14"/>
  <c r="L273" i="14"/>
  <c r="D272" i="14"/>
  <c r="F272" i="14"/>
  <c r="E272" i="14"/>
  <c r="G272" i="14" l="1"/>
  <c r="H272" i="14" s="1"/>
  <c r="I272" i="14" s="1"/>
  <c r="K272" i="14" s="1"/>
  <c r="M272" i="14" s="1"/>
  <c r="N272" i="14" s="1"/>
  <c r="O272" i="14" s="1"/>
  <c r="P272" i="14" s="1"/>
  <c r="D273" i="14"/>
  <c r="F273" i="14"/>
  <c r="E273" i="14"/>
  <c r="A275" i="14"/>
  <c r="B274" i="14"/>
  <c r="L274" i="14"/>
  <c r="G273" i="14" l="1"/>
  <c r="D274" i="14"/>
  <c r="F274" i="14"/>
  <c r="E274" i="14"/>
  <c r="H273" i="14"/>
  <c r="I273" i="14" s="1"/>
  <c r="K273" i="14" s="1"/>
  <c r="M273" i="14" s="1"/>
  <c r="N273" i="14" s="1"/>
  <c r="O273" i="14" s="1"/>
  <c r="P273" i="14" s="1"/>
  <c r="A276" i="14"/>
  <c r="B275" i="14"/>
  <c r="L275" i="14"/>
  <c r="G274" i="14" l="1"/>
  <c r="H274" i="14" s="1"/>
  <c r="I274" i="14" s="1"/>
  <c r="K274" i="14" s="1"/>
  <c r="M274" i="14" s="1"/>
  <c r="N274" i="14" s="1"/>
  <c r="O274" i="14" s="1"/>
  <c r="P274" i="14" s="1"/>
  <c r="A277" i="14"/>
  <c r="B276" i="14"/>
  <c r="L276" i="14"/>
  <c r="D275" i="14"/>
  <c r="E275" i="14"/>
  <c r="F275" i="14"/>
  <c r="G275" i="14" l="1"/>
  <c r="H275" i="14" s="1"/>
  <c r="I275" i="14" s="1"/>
  <c r="K275" i="14" s="1"/>
  <c r="M275" i="14" s="1"/>
  <c r="N275" i="14" s="1"/>
  <c r="O275" i="14" s="1"/>
  <c r="P275" i="14" s="1"/>
  <c r="D276" i="14"/>
  <c r="E276" i="14"/>
  <c r="F276" i="14"/>
  <c r="A278" i="14"/>
  <c r="B277" i="14"/>
  <c r="L277" i="14"/>
  <c r="G276" i="14" l="1"/>
  <c r="A279" i="14"/>
  <c r="B278" i="14"/>
  <c r="L278" i="14"/>
  <c r="H276" i="14"/>
  <c r="I276" i="14" s="1"/>
  <c r="K276" i="14" s="1"/>
  <c r="M276" i="14" s="1"/>
  <c r="N276" i="14" s="1"/>
  <c r="O276" i="14" s="1"/>
  <c r="P276" i="14" s="1"/>
  <c r="D277" i="14"/>
  <c r="F277" i="14"/>
  <c r="E277" i="14"/>
  <c r="G277" i="14" l="1"/>
  <c r="H277" i="14" s="1"/>
  <c r="I277" i="14" s="1"/>
  <c r="K277" i="14" s="1"/>
  <c r="M277" i="14" s="1"/>
  <c r="N277" i="14" s="1"/>
  <c r="O277" i="14" s="1"/>
  <c r="P277" i="14" s="1"/>
  <c r="D278" i="14"/>
  <c r="F278" i="14"/>
  <c r="E278" i="14"/>
  <c r="A280" i="14"/>
  <c r="B279" i="14"/>
  <c r="L279" i="14"/>
  <c r="G278" i="14" l="1"/>
  <c r="H278" i="14" s="1"/>
  <c r="I278" i="14" s="1"/>
  <c r="K278" i="14" s="1"/>
  <c r="M278" i="14" s="1"/>
  <c r="N278" i="14" s="1"/>
  <c r="O278" i="14" s="1"/>
  <c r="P278" i="14" s="1"/>
  <c r="D279" i="14"/>
  <c r="F279" i="14"/>
  <c r="E279" i="14"/>
  <c r="A281" i="14"/>
  <c r="B280" i="14"/>
  <c r="L280" i="14"/>
  <c r="G279" i="14" l="1"/>
  <c r="H279" i="14" s="1"/>
  <c r="I279" i="14" s="1"/>
  <c r="K279" i="14" s="1"/>
  <c r="M279" i="14" s="1"/>
  <c r="N279" i="14" s="1"/>
  <c r="O279" i="14" s="1"/>
  <c r="P279" i="14" s="1"/>
  <c r="D280" i="14"/>
  <c r="F280" i="14"/>
  <c r="E280" i="14"/>
  <c r="A282" i="14"/>
  <c r="B281" i="14"/>
  <c r="L281" i="14"/>
  <c r="G280" i="14" l="1"/>
  <c r="H280" i="14" s="1"/>
  <c r="I280" i="14" s="1"/>
  <c r="K280" i="14" s="1"/>
  <c r="M280" i="14" s="1"/>
  <c r="N280" i="14" s="1"/>
  <c r="O280" i="14" s="1"/>
  <c r="P280" i="14" s="1"/>
  <c r="D281" i="14"/>
  <c r="F281" i="14"/>
  <c r="E281" i="14"/>
  <c r="A283" i="14"/>
  <c r="B282" i="14"/>
  <c r="L282" i="14"/>
  <c r="G281" i="14" l="1"/>
  <c r="H281" i="14" s="1"/>
  <c r="I281" i="14" s="1"/>
  <c r="K281" i="14" s="1"/>
  <c r="M281" i="14" s="1"/>
  <c r="N281" i="14" s="1"/>
  <c r="O281" i="14" s="1"/>
  <c r="P281" i="14" s="1"/>
  <c r="D282" i="14"/>
  <c r="F282" i="14"/>
  <c r="E282" i="14"/>
  <c r="A284" i="14"/>
  <c r="B283" i="14"/>
  <c r="L283" i="14"/>
  <c r="G282" i="14" l="1"/>
  <c r="H282" i="14" s="1"/>
  <c r="I282" i="14" s="1"/>
  <c r="K282" i="14" s="1"/>
  <c r="M282" i="14" s="1"/>
  <c r="N282" i="14" s="1"/>
  <c r="O282" i="14" s="1"/>
  <c r="P282" i="14" s="1"/>
  <c r="A285" i="14"/>
  <c r="B284" i="14"/>
  <c r="L284" i="14"/>
  <c r="D283" i="14"/>
  <c r="F283" i="14"/>
  <c r="E283" i="14"/>
  <c r="G283" i="14" l="1"/>
  <c r="H283" i="14" s="1"/>
  <c r="I283" i="14" s="1"/>
  <c r="K283" i="14" s="1"/>
  <c r="M283" i="14" s="1"/>
  <c r="N283" i="14" s="1"/>
  <c r="O283" i="14" s="1"/>
  <c r="P283" i="14" s="1"/>
  <c r="D284" i="14"/>
  <c r="F284" i="14"/>
  <c r="E284" i="14"/>
  <c r="A286" i="14"/>
  <c r="B285" i="14"/>
  <c r="L285" i="14"/>
  <c r="G284" i="14" l="1"/>
  <c r="H284" i="14" s="1"/>
  <c r="I284" i="14" s="1"/>
  <c r="K284" i="14" s="1"/>
  <c r="M284" i="14" s="1"/>
  <c r="N284" i="14" s="1"/>
  <c r="O284" i="14" s="1"/>
  <c r="P284" i="14" s="1"/>
  <c r="D285" i="14"/>
  <c r="F285" i="14"/>
  <c r="E285" i="14"/>
  <c r="A287" i="14"/>
  <c r="B286" i="14"/>
  <c r="L286" i="14"/>
  <c r="G285" i="14" l="1"/>
  <c r="H285" i="14" s="1"/>
  <c r="I285" i="14" s="1"/>
  <c r="K285" i="14" s="1"/>
  <c r="M285" i="14" s="1"/>
  <c r="N285" i="14" s="1"/>
  <c r="O285" i="14" s="1"/>
  <c r="P285" i="14" s="1"/>
  <c r="D286" i="14"/>
  <c r="F286" i="14"/>
  <c r="E286" i="14"/>
  <c r="A288" i="14"/>
  <c r="B287" i="14"/>
  <c r="L287" i="14"/>
  <c r="G286" i="14" l="1"/>
  <c r="H286" i="14" s="1"/>
  <c r="I286" i="14" s="1"/>
  <c r="K286" i="14" s="1"/>
  <c r="M286" i="14" s="1"/>
  <c r="N286" i="14" s="1"/>
  <c r="O286" i="14" s="1"/>
  <c r="P286" i="14" s="1"/>
  <c r="D287" i="14"/>
  <c r="F287" i="14"/>
  <c r="E287" i="14"/>
  <c r="A289" i="14"/>
  <c r="B288" i="14"/>
  <c r="L288" i="14"/>
  <c r="G287" i="14" l="1"/>
  <c r="H287" i="14" s="1"/>
  <c r="I287" i="14" s="1"/>
  <c r="K287" i="14" s="1"/>
  <c r="M287" i="14" s="1"/>
  <c r="N287" i="14" s="1"/>
  <c r="O287" i="14" s="1"/>
  <c r="P287" i="14" s="1"/>
  <c r="A290" i="14"/>
  <c r="B289" i="14"/>
  <c r="L289" i="14"/>
  <c r="D288" i="14"/>
  <c r="F288" i="14"/>
  <c r="E288" i="14"/>
  <c r="G288" i="14" l="1"/>
  <c r="H288" i="14" s="1"/>
  <c r="I288" i="14" s="1"/>
  <c r="K288" i="14" s="1"/>
  <c r="M288" i="14" s="1"/>
  <c r="N288" i="14" s="1"/>
  <c r="O288" i="14" s="1"/>
  <c r="P288" i="14" s="1"/>
  <c r="D289" i="14"/>
  <c r="E289" i="14"/>
  <c r="F289" i="14"/>
  <c r="A291" i="14"/>
  <c r="B290" i="14"/>
  <c r="L290" i="14"/>
  <c r="A292" i="14" l="1"/>
  <c r="B291" i="14"/>
  <c r="L291" i="14"/>
  <c r="D290" i="14"/>
  <c r="F290" i="14"/>
  <c r="E290" i="14"/>
  <c r="G289" i="14"/>
  <c r="G290" i="14" l="1"/>
  <c r="H290" i="14" s="1"/>
  <c r="I290" i="14" s="1"/>
  <c r="K290" i="14" s="1"/>
  <c r="M290" i="14" s="1"/>
  <c r="N290" i="14" s="1"/>
  <c r="O290" i="14" s="1"/>
  <c r="P290" i="14" s="1"/>
  <c r="H289" i="14"/>
  <c r="I289" i="14" s="1"/>
  <c r="K289" i="14" s="1"/>
  <c r="M289" i="14" s="1"/>
  <c r="N289" i="14" s="1"/>
  <c r="O289" i="14" s="1"/>
  <c r="P289" i="14" s="1"/>
  <c r="D291" i="14"/>
  <c r="F291" i="14"/>
  <c r="E291" i="14"/>
  <c r="A293" i="14"/>
  <c r="B292" i="14"/>
  <c r="L292" i="14"/>
  <c r="G291" i="14" l="1"/>
  <c r="H291" i="14" s="1"/>
  <c r="I291" i="14" s="1"/>
  <c r="K291" i="14" s="1"/>
  <c r="M291" i="14" s="1"/>
  <c r="N291" i="14" s="1"/>
  <c r="O291" i="14" s="1"/>
  <c r="P291" i="14" s="1"/>
  <c r="A294" i="14"/>
  <c r="B293" i="14"/>
  <c r="L293" i="14"/>
  <c r="D292" i="14"/>
  <c r="F292" i="14"/>
  <c r="E292" i="14"/>
  <c r="G292" i="14" l="1"/>
  <c r="H292" i="14" s="1"/>
  <c r="I292" i="14" s="1"/>
  <c r="K292" i="14" s="1"/>
  <c r="M292" i="14" s="1"/>
  <c r="N292" i="14" s="1"/>
  <c r="O292" i="14" s="1"/>
  <c r="P292" i="14" s="1"/>
  <c r="D293" i="14"/>
  <c r="F293" i="14"/>
  <c r="E293" i="14"/>
  <c r="A295" i="14"/>
  <c r="B294" i="14"/>
  <c r="L294" i="14"/>
  <c r="G293" i="14" l="1"/>
  <c r="H293" i="14" s="1"/>
  <c r="I293" i="14" s="1"/>
  <c r="K293" i="14" s="1"/>
  <c r="M293" i="14" s="1"/>
  <c r="N293" i="14" s="1"/>
  <c r="O293" i="14" s="1"/>
  <c r="P293" i="14" s="1"/>
  <c r="D294" i="14"/>
  <c r="F294" i="14"/>
  <c r="E294" i="14"/>
  <c r="A296" i="14"/>
  <c r="B295" i="14"/>
  <c r="L295" i="14"/>
  <c r="G294" i="14" l="1"/>
  <c r="H294" i="14" s="1"/>
  <c r="I294" i="14" s="1"/>
  <c r="K294" i="14" s="1"/>
  <c r="M294" i="14" s="1"/>
  <c r="N294" i="14" s="1"/>
  <c r="O294" i="14" s="1"/>
  <c r="P294" i="14" s="1"/>
  <c r="D295" i="14"/>
  <c r="F295" i="14"/>
  <c r="E295" i="14"/>
  <c r="A297" i="14"/>
  <c r="B296" i="14"/>
  <c r="L296" i="14"/>
  <c r="D296" i="14" l="1"/>
  <c r="F296" i="14"/>
  <c r="E296" i="14"/>
  <c r="A298" i="14"/>
  <c r="B297" i="14"/>
  <c r="L297" i="14"/>
  <c r="G295" i="14"/>
  <c r="H295" i="14" s="1"/>
  <c r="I295" i="14" s="1"/>
  <c r="K295" i="14" s="1"/>
  <c r="M295" i="14" s="1"/>
  <c r="N295" i="14" s="1"/>
  <c r="O295" i="14" s="1"/>
  <c r="P295" i="14" s="1"/>
  <c r="G296" i="14" l="1"/>
  <c r="H296" i="14" s="1"/>
  <c r="I296" i="14" s="1"/>
  <c r="K296" i="14" s="1"/>
  <c r="M296" i="14" s="1"/>
  <c r="N296" i="14" s="1"/>
  <c r="O296" i="14" s="1"/>
  <c r="P296" i="14" s="1"/>
  <c r="A299" i="14"/>
  <c r="B298" i="14"/>
  <c r="L298" i="14"/>
  <c r="D297" i="14"/>
  <c r="F297" i="14"/>
  <c r="E297" i="14"/>
  <c r="G297" i="14" l="1"/>
  <c r="H297" i="14" s="1"/>
  <c r="I297" i="14" s="1"/>
  <c r="K297" i="14" s="1"/>
  <c r="M297" i="14" s="1"/>
  <c r="N297" i="14" s="1"/>
  <c r="O297" i="14" s="1"/>
  <c r="D298" i="14"/>
  <c r="F298" i="14"/>
  <c r="E298" i="14"/>
  <c r="A300" i="14"/>
  <c r="B299" i="14"/>
  <c r="L299" i="14"/>
  <c r="G298" i="14" l="1"/>
  <c r="H298" i="14" s="1"/>
  <c r="I298" i="14" s="1"/>
  <c r="K298" i="14" s="1"/>
  <c r="M298" i="14" s="1"/>
  <c r="N298" i="14" s="1"/>
  <c r="O298" i="14" s="1"/>
  <c r="P298" i="14" s="1"/>
  <c r="P297" i="14"/>
  <c r="A301" i="14"/>
  <c r="B300" i="14"/>
  <c r="L300" i="14"/>
  <c r="D299" i="14"/>
  <c r="F299" i="14"/>
  <c r="E299" i="14"/>
  <c r="D300" i="14" l="1"/>
  <c r="F300" i="14"/>
  <c r="E300" i="14"/>
  <c r="G299" i="14"/>
  <c r="A302" i="14"/>
  <c r="B301" i="14"/>
  <c r="L301" i="14"/>
  <c r="G300" i="14" l="1"/>
  <c r="H300" i="14" s="1"/>
  <c r="I300" i="14" s="1"/>
  <c r="K300" i="14" s="1"/>
  <c r="M300" i="14" s="1"/>
  <c r="N300" i="14" s="1"/>
  <c r="O300" i="14" s="1"/>
  <c r="P300" i="14" s="1"/>
  <c r="D301" i="14"/>
  <c r="F301" i="14"/>
  <c r="E301" i="14"/>
  <c r="A303" i="14"/>
  <c r="B302" i="14"/>
  <c r="L302" i="14"/>
  <c r="H299" i="14"/>
  <c r="I299" i="14" s="1"/>
  <c r="K299" i="14" s="1"/>
  <c r="M299" i="14" s="1"/>
  <c r="G301" i="14" l="1"/>
  <c r="H301" i="14" s="1"/>
  <c r="I301" i="14" s="1"/>
  <c r="K301" i="14" s="1"/>
  <c r="M301" i="14" s="1"/>
  <c r="A304" i="14"/>
  <c r="B303" i="14"/>
  <c r="L303" i="14"/>
  <c r="D302" i="14"/>
  <c r="F302" i="14"/>
  <c r="E302" i="14"/>
  <c r="N299" i="14"/>
  <c r="O299" i="14" s="1"/>
  <c r="P299" i="14" s="1"/>
  <c r="N301" i="14" l="1"/>
  <c r="O301" i="14" s="1"/>
  <c r="P301" i="14" s="1"/>
  <c r="D303" i="14"/>
  <c r="E303" i="14"/>
  <c r="F303" i="14"/>
  <c r="G302" i="14"/>
  <c r="A305" i="14"/>
  <c r="B304" i="14"/>
  <c r="L304" i="14"/>
  <c r="D304" i="14" l="1"/>
  <c r="F304" i="14"/>
  <c r="E304" i="14"/>
  <c r="A306" i="14"/>
  <c r="B305" i="14"/>
  <c r="L305" i="14"/>
  <c r="H302" i="14"/>
  <c r="I302" i="14" s="1"/>
  <c r="K302" i="14" s="1"/>
  <c r="M302" i="14" s="1"/>
  <c r="G303" i="14"/>
  <c r="H303" i="14" s="1"/>
  <c r="I303" i="14" s="1"/>
  <c r="K303" i="14" s="1"/>
  <c r="M303" i="14" s="1"/>
  <c r="N302" i="14" l="1"/>
  <c r="O302" i="14" s="1"/>
  <c r="P302" i="14" s="1"/>
  <c r="D305" i="14"/>
  <c r="F305" i="14"/>
  <c r="E305" i="14"/>
  <c r="A307" i="14"/>
  <c r="B306" i="14"/>
  <c r="L306" i="14"/>
  <c r="G304" i="14"/>
  <c r="H304" i="14" s="1"/>
  <c r="I304" i="14" s="1"/>
  <c r="K304" i="14" s="1"/>
  <c r="M304" i="14" s="1"/>
  <c r="N303" i="14"/>
  <c r="O303" i="14" s="1"/>
  <c r="P303" i="14" s="1"/>
  <c r="G305" i="14" l="1"/>
  <c r="H305" i="14" s="1"/>
  <c r="I305" i="14" s="1"/>
  <c r="K305" i="14" s="1"/>
  <c r="M305" i="14" s="1"/>
  <c r="N305" i="14" s="1"/>
  <c r="O305" i="14" s="1"/>
  <c r="P305" i="14" s="1"/>
  <c r="A308" i="14"/>
  <c r="B307" i="14"/>
  <c r="L307" i="14"/>
  <c r="N304" i="14"/>
  <c r="O304" i="14" s="1"/>
  <c r="P304" i="14" s="1"/>
  <c r="D306" i="14"/>
  <c r="E306" i="14"/>
  <c r="F306" i="14"/>
  <c r="G306" i="14" l="1"/>
  <c r="H306" i="14" s="1"/>
  <c r="I306" i="14" s="1"/>
  <c r="K306" i="14" s="1"/>
  <c r="M306" i="14" s="1"/>
  <c r="N306" i="14" s="1"/>
  <c r="O306" i="14" s="1"/>
  <c r="D307" i="14"/>
  <c r="E307" i="14"/>
  <c r="F307" i="14"/>
  <c r="A309" i="14"/>
  <c r="B308" i="14"/>
  <c r="L308" i="14"/>
  <c r="P306" i="14" l="1"/>
  <c r="D308" i="14"/>
  <c r="E308" i="14"/>
  <c r="F308" i="14"/>
  <c r="A310" i="14"/>
  <c r="B309" i="14"/>
  <c r="L309" i="14"/>
  <c r="G307" i="14"/>
  <c r="H307" i="14" s="1"/>
  <c r="I307" i="14" s="1"/>
  <c r="K307" i="14" s="1"/>
  <c r="M307" i="14" s="1"/>
  <c r="D309" i="14" l="1"/>
  <c r="E309" i="14"/>
  <c r="F309" i="14"/>
  <c r="A311" i="14"/>
  <c r="B310" i="14"/>
  <c r="L310" i="14"/>
  <c r="N307" i="14"/>
  <c r="O307" i="14" s="1"/>
  <c r="P307" i="14" s="1"/>
  <c r="G308" i="14"/>
  <c r="H308" i="14" s="1"/>
  <c r="I308" i="14" s="1"/>
  <c r="K308" i="14" s="1"/>
  <c r="M308" i="14" s="1"/>
  <c r="N308" i="14" s="1"/>
  <c r="O308" i="14" s="1"/>
  <c r="P308" i="14" s="1"/>
  <c r="D310" i="14" l="1"/>
  <c r="F310" i="14"/>
  <c r="E310" i="14"/>
  <c r="A312" i="14"/>
  <c r="B311" i="14"/>
  <c r="L311" i="14"/>
  <c r="G309" i="14"/>
  <c r="H309" i="14" s="1"/>
  <c r="I309" i="14" s="1"/>
  <c r="K309" i="14" s="1"/>
  <c r="M309" i="14" s="1"/>
  <c r="G310" i="14" l="1"/>
  <c r="H310" i="14" s="1"/>
  <c r="I310" i="14" s="1"/>
  <c r="K310" i="14" s="1"/>
  <c r="M310" i="14" s="1"/>
  <c r="N309" i="14"/>
  <c r="O309" i="14" s="1"/>
  <c r="P309" i="14" s="1"/>
  <c r="D311" i="14"/>
  <c r="F311" i="14"/>
  <c r="E311" i="14"/>
  <c r="A313" i="14"/>
  <c r="B312" i="14"/>
  <c r="L312" i="14"/>
  <c r="N310" i="14" l="1"/>
  <c r="O310" i="14" s="1"/>
  <c r="P310" i="14" s="1"/>
  <c r="G311" i="14"/>
  <c r="H311" i="14" s="1"/>
  <c r="I311" i="14" s="1"/>
  <c r="K311" i="14" s="1"/>
  <c r="M311" i="14" s="1"/>
  <c r="N311" i="14" s="1"/>
  <c r="O311" i="14" s="1"/>
  <c r="A314" i="14"/>
  <c r="B313" i="14"/>
  <c r="L313" i="14"/>
  <c r="D312" i="14"/>
  <c r="F312" i="14"/>
  <c r="E312" i="14"/>
  <c r="P311" i="14" l="1"/>
  <c r="D313" i="14"/>
  <c r="F313" i="14"/>
  <c r="E313" i="14"/>
  <c r="A315" i="14"/>
  <c r="B314" i="14"/>
  <c r="L314" i="14"/>
  <c r="G312" i="14"/>
  <c r="H312" i="14" s="1"/>
  <c r="I312" i="14" s="1"/>
  <c r="K312" i="14" s="1"/>
  <c r="M312" i="14" s="1"/>
  <c r="G313" i="14" l="1"/>
  <c r="H313" i="14" s="1"/>
  <c r="I313" i="14" s="1"/>
  <c r="K313" i="14" s="1"/>
  <c r="M313" i="14" s="1"/>
  <c r="N312" i="14"/>
  <c r="O312" i="14" s="1"/>
  <c r="P312" i="14" s="1"/>
  <c r="D314" i="14"/>
  <c r="F314" i="14"/>
  <c r="E314" i="14"/>
  <c r="A316" i="14"/>
  <c r="B315" i="14"/>
  <c r="L315" i="14"/>
  <c r="G314" i="14" l="1"/>
  <c r="H314" i="14" s="1"/>
  <c r="I314" i="14" s="1"/>
  <c r="K314" i="14" s="1"/>
  <c r="M314" i="14" s="1"/>
  <c r="N314" i="14" s="1"/>
  <c r="O314" i="14" s="1"/>
  <c r="P314" i="14" s="1"/>
  <c r="N313" i="14"/>
  <c r="O313" i="14" s="1"/>
  <c r="P313" i="14" s="1"/>
  <c r="D315" i="14"/>
  <c r="F315" i="14"/>
  <c r="E315" i="14"/>
  <c r="A317" i="14"/>
  <c r="B316" i="14"/>
  <c r="L316" i="14"/>
  <c r="G315" i="14" l="1"/>
  <c r="H315" i="14" s="1"/>
  <c r="I315" i="14" s="1"/>
  <c r="K315" i="14" s="1"/>
  <c r="M315" i="14" s="1"/>
  <c r="N315" i="14" s="1"/>
  <c r="O315" i="14" s="1"/>
  <c r="P315" i="14" s="1"/>
  <c r="D316" i="14"/>
  <c r="F316" i="14"/>
  <c r="E316" i="14"/>
  <c r="A318" i="14"/>
  <c r="B317" i="14"/>
  <c r="L317" i="14"/>
  <c r="G316" i="14" l="1"/>
  <c r="H316" i="14" s="1"/>
  <c r="I316" i="14" s="1"/>
  <c r="K316" i="14" s="1"/>
  <c r="M316" i="14" s="1"/>
  <c r="N316" i="14" s="1"/>
  <c r="O316" i="14" s="1"/>
  <c r="P316" i="14" s="1"/>
  <c r="D317" i="14"/>
  <c r="F317" i="14"/>
  <c r="E317" i="14"/>
  <c r="A319" i="14"/>
  <c r="B318" i="14"/>
  <c r="L318" i="14"/>
  <c r="G317" i="14" l="1"/>
  <c r="H317" i="14" s="1"/>
  <c r="I317" i="14" s="1"/>
  <c r="K317" i="14" s="1"/>
  <c r="M317" i="14" s="1"/>
  <c r="N317" i="14" s="1"/>
  <c r="O317" i="14" s="1"/>
  <c r="P317" i="14" s="1"/>
  <c r="D318" i="14"/>
  <c r="F318" i="14"/>
  <c r="E318" i="14"/>
  <c r="A320" i="14"/>
  <c r="B319" i="14"/>
  <c r="L319" i="14"/>
  <c r="G318" i="14" l="1"/>
  <c r="H318" i="14" s="1"/>
  <c r="I318" i="14" s="1"/>
  <c r="K318" i="14" s="1"/>
  <c r="M318" i="14" s="1"/>
  <c r="N318" i="14" s="1"/>
  <c r="O318" i="14" s="1"/>
  <c r="P318" i="14" s="1"/>
  <c r="D319" i="14"/>
  <c r="F319" i="14"/>
  <c r="E319" i="14"/>
  <c r="A321" i="14"/>
  <c r="B320" i="14"/>
  <c r="L320" i="14"/>
  <c r="G319" i="14" l="1"/>
  <c r="H319" i="14" s="1"/>
  <c r="I319" i="14" s="1"/>
  <c r="K319" i="14" s="1"/>
  <c r="M319" i="14" s="1"/>
  <c r="N319" i="14" s="1"/>
  <c r="O319" i="14" s="1"/>
  <c r="P319" i="14" s="1"/>
  <c r="A322" i="14"/>
  <c r="B321" i="14"/>
  <c r="L321" i="14"/>
  <c r="D320" i="14"/>
  <c r="F320" i="14"/>
  <c r="E320" i="14"/>
  <c r="G320" i="14" l="1"/>
  <c r="H320" i="14" s="1"/>
  <c r="I320" i="14" s="1"/>
  <c r="K320" i="14" s="1"/>
  <c r="M320" i="14" s="1"/>
  <c r="N320" i="14" s="1"/>
  <c r="O320" i="14" s="1"/>
  <c r="D321" i="14"/>
  <c r="F321" i="14"/>
  <c r="E321" i="14"/>
  <c r="A323" i="14"/>
  <c r="B322" i="14"/>
  <c r="L322" i="14"/>
  <c r="P320" i="14" l="1"/>
  <c r="G321" i="14"/>
  <c r="H321" i="14" s="1"/>
  <c r="I321" i="14" s="1"/>
  <c r="K321" i="14" s="1"/>
  <c r="M321" i="14" s="1"/>
  <c r="N321" i="14" s="1"/>
  <c r="O321" i="14" s="1"/>
  <c r="P321" i="14" s="1"/>
  <c r="A324" i="14"/>
  <c r="B323" i="14"/>
  <c r="L323" i="14"/>
  <c r="D322" i="14"/>
  <c r="F322" i="14"/>
  <c r="E322" i="14"/>
  <c r="D323" i="14" l="1"/>
  <c r="F323" i="14"/>
  <c r="E323" i="14"/>
  <c r="G322" i="14"/>
  <c r="H322" i="14" s="1"/>
  <c r="I322" i="14" s="1"/>
  <c r="K322" i="14" s="1"/>
  <c r="M322" i="14" s="1"/>
  <c r="N322" i="14" s="1"/>
  <c r="O322" i="14" s="1"/>
  <c r="P322" i="14" s="1"/>
  <c r="A325" i="14"/>
  <c r="B324" i="14"/>
  <c r="L324" i="14"/>
  <c r="G323" i="14" l="1"/>
  <c r="H323" i="14" s="1"/>
  <c r="I323" i="14" s="1"/>
  <c r="K323" i="14" s="1"/>
  <c r="M323" i="14" s="1"/>
  <c r="N323" i="14" s="1"/>
  <c r="O323" i="14" s="1"/>
  <c r="P323" i="14" s="1"/>
  <c r="D324" i="14"/>
  <c r="F324" i="14"/>
  <c r="E324" i="14"/>
  <c r="A326" i="14"/>
  <c r="B325" i="14"/>
  <c r="L325" i="14"/>
  <c r="D325" i="14" l="1"/>
  <c r="F325" i="14"/>
  <c r="E325" i="14"/>
  <c r="A327" i="14"/>
  <c r="B326" i="14"/>
  <c r="L326" i="14"/>
  <c r="G324" i="14"/>
  <c r="H324" i="14" s="1"/>
  <c r="I324" i="14" s="1"/>
  <c r="K324" i="14" s="1"/>
  <c r="M324" i="14" s="1"/>
  <c r="N324" i="14" s="1"/>
  <c r="O324" i="14" s="1"/>
  <c r="P324" i="14" s="1"/>
  <c r="G325" i="14" l="1"/>
  <c r="H325" i="14" s="1"/>
  <c r="I325" i="14" s="1"/>
  <c r="K325" i="14" s="1"/>
  <c r="M325" i="14" s="1"/>
  <c r="N325" i="14" s="1"/>
  <c r="O325" i="14" s="1"/>
  <c r="D326" i="14"/>
  <c r="F326" i="14"/>
  <c r="E326" i="14"/>
  <c r="A328" i="14"/>
  <c r="B327" i="14"/>
  <c r="L327" i="14"/>
  <c r="P325" i="14" l="1"/>
  <c r="G326" i="14"/>
  <c r="H326" i="14" s="1"/>
  <c r="I326" i="14" s="1"/>
  <c r="K326" i="14" s="1"/>
  <c r="M326" i="14" s="1"/>
  <c r="N326" i="14" s="1"/>
  <c r="O326" i="14" s="1"/>
  <c r="D327" i="14"/>
  <c r="F327" i="14"/>
  <c r="E327" i="14"/>
  <c r="A329" i="14"/>
  <c r="B328" i="14"/>
  <c r="L328" i="14"/>
  <c r="G327" i="14" l="1"/>
  <c r="H327" i="14" s="1"/>
  <c r="I327" i="14" s="1"/>
  <c r="K327" i="14" s="1"/>
  <c r="M327" i="14" s="1"/>
  <c r="N327" i="14" s="1"/>
  <c r="O327" i="14" s="1"/>
  <c r="P326" i="14"/>
  <c r="D328" i="14"/>
  <c r="F328" i="14"/>
  <c r="E328" i="14"/>
  <c r="A330" i="14"/>
  <c r="B329" i="14"/>
  <c r="L329" i="14"/>
  <c r="G328" i="14" l="1"/>
  <c r="H328" i="14" s="1"/>
  <c r="I328" i="14" s="1"/>
  <c r="K328" i="14" s="1"/>
  <c r="M328" i="14" s="1"/>
  <c r="N328" i="14" s="1"/>
  <c r="O328" i="14" s="1"/>
  <c r="P328" i="14" s="1"/>
  <c r="P327" i="14"/>
  <c r="D329" i="14"/>
  <c r="F329" i="14"/>
  <c r="E329" i="14"/>
  <c r="A331" i="14"/>
  <c r="B330" i="14"/>
  <c r="L330" i="14"/>
  <c r="G329" i="14" l="1"/>
  <c r="H329" i="14" s="1"/>
  <c r="I329" i="14" s="1"/>
  <c r="K329" i="14" s="1"/>
  <c r="M329" i="14" s="1"/>
  <c r="A332" i="14"/>
  <c r="B331" i="14"/>
  <c r="L331" i="14"/>
  <c r="D330" i="14"/>
  <c r="F330" i="14"/>
  <c r="E330" i="14"/>
  <c r="N329" i="14" l="1"/>
  <c r="O329" i="14" s="1"/>
  <c r="P329" i="14" s="1"/>
  <c r="G330" i="14"/>
  <c r="H330" i="14" s="1"/>
  <c r="I330" i="14" s="1"/>
  <c r="K330" i="14" s="1"/>
  <c r="M330" i="14" s="1"/>
  <c r="D331" i="14"/>
  <c r="F331" i="14"/>
  <c r="E331" i="14"/>
  <c r="A333" i="14"/>
  <c r="B332" i="14"/>
  <c r="L332" i="14"/>
  <c r="G331" i="14" l="1"/>
  <c r="N330" i="14"/>
  <c r="O330" i="14" s="1"/>
  <c r="P330" i="14" s="1"/>
  <c r="D332" i="14"/>
  <c r="F332" i="14"/>
  <c r="E332" i="14"/>
  <c r="A334" i="14"/>
  <c r="B333" i="14"/>
  <c r="L333" i="14"/>
  <c r="H331" i="14"/>
  <c r="I331" i="14" s="1"/>
  <c r="K331" i="14" s="1"/>
  <c r="M331" i="14" s="1"/>
  <c r="G332" i="14" l="1"/>
  <c r="H332" i="14" s="1"/>
  <c r="I332" i="14" s="1"/>
  <c r="K332" i="14" s="1"/>
  <c r="M332" i="14" s="1"/>
  <c r="N332" i="14" s="1"/>
  <c r="O332" i="14" s="1"/>
  <c r="N331" i="14"/>
  <c r="O331" i="14" s="1"/>
  <c r="P331" i="14" s="1"/>
  <c r="D333" i="14"/>
  <c r="F333" i="14"/>
  <c r="E333" i="14"/>
  <c r="A335" i="14"/>
  <c r="B334" i="14"/>
  <c r="L334" i="14"/>
  <c r="G333" i="14" l="1"/>
  <c r="H333" i="14" s="1"/>
  <c r="I333" i="14" s="1"/>
  <c r="K333" i="14" s="1"/>
  <c r="M333" i="14" s="1"/>
  <c r="N333" i="14" s="1"/>
  <c r="O333" i="14" s="1"/>
  <c r="P333" i="14" s="1"/>
  <c r="P332" i="14"/>
  <c r="A336" i="14"/>
  <c r="B335" i="14"/>
  <c r="L335" i="14"/>
  <c r="D334" i="14"/>
  <c r="F334" i="14"/>
  <c r="E334" i="14"/>
  <c r="G334" i="14" l="1"/>
  <c r="H334" i="14" s="1"/>
  <c r="I334" i="14" s="1"/>
  <c r="K334" i="14" s="1"/>
  <c r="M334" i="14" s="1"/>
  <c r="D335" i="14"/>
  <c r="E335" i="14"/>
  <c r="F335" i="14"/>
  <c r="A337" i="14"/>
  <c r="B336" i="14"/>
  <c r="L336" i="14"/>
  <c r="G335" i="14" l="1"/>
  <c r="H335" i="14" s="1"/>
  <c r="I335" i="14" s="1"/>
  <c r="K335" i="14" s="1"/>
  <c r="M335" i="14" s="1"/>
  <c r="N335" i="14" s="1"/>
  <c r="O335" i="14" s="1"/>
  <c r="P335" i="14" s="1"/>
  <c r="N334" i="14"/>
  <c r="O334" i="14" s="1"/>
  <c r="P334" i="14" s="1"/>
  <c r="A338" i="14"/>
  <c r="B337" i="14"/>
  <c r="L337" i="14"/>
  <c r="D336" i="14"/>
  <c r="F336" i="14"/>
  <c r="E336" i="14"/>
  <c r="D337" i="14" l="1"/>
  <c r="F337" i="14"/>
  <c r="E337" i="14"/>
  <c r="A339" i="14"/>
  <c r="B338" i="14"/>
  <c r="L338" i="14"/>
  <c r="G336" i="14"/>
  <c r="H336" i="14" s="1"/>
  <c r="I336" i="14" s="1"/>
  <c r="K336" i="14" s="1"/>
  <c r="M336" i="14" s="1"/>
  <c r="G337" i="14" l="1"/>
  <c r="H337" i="14" s="1"/>
  <c r="I337" i="14" s="1"/>
  <c r="K337" i="14" s="1"/>
  <c r="M337" i="14" s="1"/>
  <c r="N337" i="14" s="1"/>
  <c r="O337" i="14" s="1"/>
  <c r="P337" i="14" s="1"/>
  <c r="D338" i="14"/>
  <c r="E338" i="14"/>
  <c r="F338" i="14"/>
  <c r="A340" i="14"/>
  <c r="B339" i="14"/>
  <c r="L339" i="14"/>
  <c r="N336" i="14"/>
  <c r="O336" i="14" s="1"/>
  <c r="P336" i="14" s="1"/>
  <c r="G338" i="14" l="1"/>
  <c r="H338" i="14" s="1"/>
  <c r="I338" i="14" s="1"/>
  <c r="K338" i="14" s="1"/>
  <c r="M338" i="14" s="1"/>
  <c r="N338" i="14" s="1"/>
  <c r="O338" i="14" s="1"/>
  <c r="P338" i="14" s="1"/>
  <c r="D339" i="14"/>
  <c r="E339" i="14"/>
  <c r="F339" i="14"/>
  <c r="A341" i="14"/>
  <c r="B340" i="14"/>
  <c r="L340" i="14"/>
  <c r="A342" i="14" l="1"/>
  <c r="B341" i="14"/>
  <c r="L341" i="14"/>
  <c r="D340" i="14"/>
  <c r="E340" i="14"/>
  <c r="F340" i="14"/>
  <c r="G339" i="14"/>
  <c r="H339" i="14" s="1"/>
  <c r="I339" i="14" s="1"/>
  <c r="K339" i="14" s="1"/>
  <c r="M339" i="14" s="1"/>
  <c r="G340" i="14" l="1"/>
  <c r="H340" i="14" s="1"/>
  <c r="I340" i="14" s="1"/>
  <c r="K340" i="14" s="1"/>
  <c r="M340" i="14" s="1"/>
  <c r="D341" i="14"/>
  <c r="F341" i="14"/>
  <c r="E341" i="14"/>
  <c r="A343" i="14"/>
  <c r="B342" i="14"/>
  <c r="L342" i="14"/>
  <c r="N339" i="14"/>
  <c r="O339" i="14" s="1"/>
  <c r="P339" i="14" s="1"/>
  <c r="N340" i="14" l="1"/>
  <c r="O340" i="14" s="1"/>
  <c r="P340" i="14" s="1"/>
  <c r="G341" i="14"/>
  <c r="H341" i="14" s="1"/>
  <c r="I341" i="14" s="1"/>
  <c r="K341" i="14" s="1"/>
  <c r="M341" i="14" s="1"/>
  <c r="N341" i="14" s="1"/>
  <c r="O341" i="14" s="1"/>
  <c r="P341" i="14" s="1"/>
  <c r="D342" i="14"/>
  <c r="F342" i="14"/>
  <c r="E342" i="14"/>
  <c r="A344" i="14"/>
  <c r="B343" i="14"/>
  <c r="L343" i="14"/>
  <c r="G342" i="14" l="1"/>
  <c r="H342" i="14" s="1"/>
  <c r="I342" i="14" s="1"/>
  <c r="K342" i="14" s="1"/>
  <c r="M342" i="14" s="1"/>
  <c r="N342" i="14" s="1"/>
  <c r="O342" i="14" s="1"/>
  <c r="P342" i="14" s="1"/>
  <c r="D343" i="14"/>
  <c r="F343" i="14"/>
  <c r="E343" i="14"/>
  <c r="A345" i="14"/>
  <c r="B344" i="14"/>
  <c r="L344" i="14"/>
  <c r="G343" i="14" l="1"/>
  <c r="H343" i="14" s="1"/>
  <c r="I343" i="14" s="1"/>
  <c r="K343" i="14" s="1"/>
  <c r="M343" i="14" s="1"/>
  <c r="N343" i="14" s="1"/>
  <c r="O343" i="14" s="1"/>
  <c r="P343" i="14" s="1"/>
  <c r="D344" i="14"/>
  <c r="F344" i="14"/>
  <c r="E344" i="14"/>
  <c r="A346" i="14"/>
  <c r="B345" i="14"/>
  <c r="L345" i="14"/>
  <c r="G344" i="14" l="1"/>
  <c r="H344" i="14" s="1"/>
  <c r="I344" i="14" s="1"/>
  <c r="K344" i="14" s="1"/>
  <c r="M344" i="14" s="1"/>
  <c r="N344" i="14" s="1"/>
  <c r="O344" i="14" s="1"/>
  <c r="P344" i="14" s="1"/>
  <c r="D345" i="14"/>
  <c r="F345" i="14"/>
  <c r="E345" i="14"/>
  <c r="A347" i="14"/>
  <c r="B346" i="14"/>
  <c r="L346" i="14"/>
  <c r="G345" i="14" l="1"/>
  <c r="H345" i="14" s="1"/>
  <c r="I345" i="14" s="1"/>
  <c r="K345" i="14" s="1"/>
  <c r="M345" i="14" s="1"/>
  <c r="N345" i="14" s="1"/>
  <c r="O345" i="14" s="1"/>
  <c r="P345" i="14" s="1"/>
  <c r="D346" i="14"/>
  <c r="F346" i="14"/>
  <c r="E346" i="14"/>
  <c r="A348" i="14"/>
  <c r="B347" i="14"/>
  <c r="L347" i="14"/>
  <c r="G346" i="14" l="1"/>
  <c r="H346" i="14" s="1"/>
  <c r="I346" i="14" s="1"/>
  <c r="K346" i="14" s="1"/>
  <c r="M346" i="14" s="1"/>
  <c r="N346" i="14" s="1"/>
  <c r="O346" i="14" s="1"/>
  <c r="P346" i="14" s="1"/>
  <c r="D347" i="14"/>
  <c r="F347" i="14"/>
  <c r="E347" i="14"/>
  <c r="A349" i="14"/>
  <c r="B348" i="14"/>
  <c r="L348" i="14"/>
  <c r="G347" i="14" l="1"/>
  <c r="H347" i="14" s="1"/>
  <c r="I347" i="14" s="1"/>
  <c r="K347" i="14" s="1"/>
  <c r="M347" i="14" s="1"/>
  <c r="N347" i="14" s="1"/>
  <c r="O347" i="14" s="1"/>
  <c r="P347" i="14" s="1"/>
  <c r="D348" i="14"/>
  <c r="F348" i="14"/>
  <c r="E348" i="14"/>
  <c r="A350" i="14"/>
  <c r="B349" i="14"/>
  <c r="L349" i="14"/>
  <c r="G348" i="14" l="1"/>
  <c r="H348" i="14" s="1"/>
  <c r="I348" i="14" s="1"/>
  <c r="K348" i="14" s="1"/>
  <c r="M348" i="14" s="1"/>
  <c r="N348" i="14" s="1"/>
  <c r="O348" i="14" s="1"/>
  <c r="P348" i="14" s="1"/>
  <c r="D349" i="14"/>
  <c r="F349" i="14"/>
  <c r="E349" i="14"/>
  <c r="A351" i="14"/>
  <c r="B350" i="14"/>
  <c r="L350" i="14"/>
  <c r="G349" i="14" l="1"/>
  <c r="H349" i="14" s="1"/>
  <c r="I349" i="14" s="1"/>
  <c r="K349" i="14" s="1"/>
  <c r="M349" i="14" s="1"/>
  <c r="N349" i="14" s="1"/>
  <c r="O349" i="14" s="1"/>
  <c r="P349" i="14" s="1"/>
  <c r="A352" i="14"/>
  <c r="B351" i="14"/>
  <c r="L351" i="14"/>
  <c r="D350" i="14"/>
  <c r="F350" i="14"/>
  <c r="E350" i="14"/>
  <c r="G350" i="14" l="1"/>
  <c r="H350" i="14" s="1"/>
  <c r="I350" i="14" s="1"/>
  <c r="K350" i="14" s="1"/>
  <c r="M350" i="14" s="1"/>
  <c r="D351" i="14"/>
  <c r="F351" i="14"/>
  <c r="E351" i="14"/>
  <c r="A353" i="14"/>
  <c r="B352" i="14"/>
  <c r="L352" i="14"/>
  <c r="G351" i="14" l="1"/>
  <c r="H351" i="14" s="1"/>
  <c r="I351" i="14" s="1"/>
  <c r="K351" i="14" s="1"/>
  <c r="M351" i="14" s="1"/>
  <c r="N351" i="14" s="1"/>
  <c r="O351" i="14" s="1"/>
  <c r="P351" i="14" s="1"/>
  <c r="N350" i="14"/>
  <c r="O350" i="14" s="1"/>
  <c r="P350" i="14" s="1"/>
  <c r="A354" i="14"/>
  <c r="B353" i="14"/>
  <c r="L353" i="14"/>
  <c r="D352" i="14"/>
  <c r="F352" i="14"/>
  <c r="E352" i="14"/>
  <c r="D353" i="14" l="1"/>
  <c r="E353" i="14"/>
  <c r="F353" i="14"/>
  <c r="G352" i="14"/>
  <c r="H352" i="14" s="1"/>
  <c r="I352" i="14" s="1"/>
  <c r="K352" i="14" s="1"/>
  <c r="M352" i="14" s="1"/>
  <c r="A355" i="14"/>
  <c r="B354" i="14"/>
  <c r="L354" i="14"/>
  <c r="G353" i="14" l="1"/>
  <c r="H353" i="14" s="1"/>
  <c r="I353" i="14" s="1"/>
  <c r="K353" i="14" s="1"/>
  <c r="M353" i="14" s="1"/>
  <c r="N353" i="14" s="1"/>
  <c r="O353" i="14" s="1"/>
  <c r="P353" i="14" s="1"/>
  <c r="A356" i="14"/>
  <c r="B355" i="14"/>
  <c r="L355" i="14"/>
  <c r="D354" i="14"/>
  <c r="F354" i="14"/>
  <c r="E354" i="14"/>
  <c r="N352" i="14"/>
  <c r="O352" i="14" s="1"/>
  <c r="P352" i="14" s="1"/>
  <c r="G354" i="14" l="1"/>
  <c r="H354" i="14" s="1"/>
  <c r="I354" i="14" s="1"/>
  <c r="K354" i="14" s="1"/>
  <c r="M354" i="14" s="1"/>
  <c r="N354" i="14" s="1"/>
  <c r="O354" i="14" s="1"/>
  <c r="D355" i="14"/>
  <c r="F355" i="14"/>
  <c r="E355" i="14"/>
  <c r="A357" i="14"/>
  <c r="B356" i="14"/>
  <c r="L356" i="14"/>
  <c r="G355" i="14" l="1"/>
  <c r="H355" i="14" s="1"/>
  <c r="I355" i="14" s="1"/>
  <c r="K355" i="14" s="1"/>
  <c r="M355" i="14" s="1"/>
  <c r="N355" i="14" s="1"/>
  <c r="O355" i="14" s="1"/>
  <c r="P354" i="14"/>
  <c r="D356" i="14"/>
  <c r="F356" i="14"/>
  <c r="E356" i="14"/>
  <c r="A358" i="14"/>
  <c r="B357" i="14"/>
  <c r="L357" i="14"/>
  <c r="G356" i="14" l="1"/>
  <c r="H356" i="14" s="1"/>
  <c r="I356" i="14" s="1"/>
  <c r="K356" i="14" s="1"/>
  <c r="M356" i="14" s="1"/>
  <c r="N356" i="14" s="1"/>
  <c r="O356" i="14" s="1"/>
  <c r="P356" i="14" s="1"/>
  <c r="P355" i="14"/>
  <c r="D357" i="14"/>
  <c r="F357" i="14"/>
  <c r="E357" i="14"/>
  <c r="A359" i="14"/>
  <c r="B358" i="14"/>
  <c r="L358" i="14"/>
  <c r="G357" i="14" l="1"/>
  <c r="H357" i="14" s="1"/>
  <c r="I357" i="14" s="1"/>
  <c r="K357" i="14" s="1"/>
  <c r="M357" i="14" s="1"/>
  <c r="N357" i="14" s="1"/>
  <c r="O357" i="14" s="1"/>
  <c r="P357" i="14" s="1"/>
  <c r="D358" i="14"/>
  <c r="E358" i="14"/>
  <c r="F358" i="14"/>
  <c r="A360" i="14"/>
  <c r="B359" i="14"/>
  <c r="L359" i="14"/>
  <c r="A361" i="14" l="1"/>
  <c r="B360" i="14"/>
  <c r="L360" i="14"/>
  <c r="G358" i="14"/>
  <c r="H358" i="14" s="1"/>
  <c r="I358" i="14" s="1"/>
  <c r="K358" i="14" s="1"/>
  <c r="M358" i="14" s="1"/>
  <c r="N358" i="14" s="1"/>
  <c r="O358" i="14" s="1"/>
  <c r="P358" i="14" s="1"/>
  <c r="D359" i="14"/>
  <c r="F359" i="14"/>
  <c r="E359" i="14"/>
  <c r="G359" i="14" l="1"/>
  <c r="H359" i="14" s="1"/>
  <c r="I359" i="14" s="1"/>
  <c r="K359" i="14" s="1"/>
  <c r="M359" i="14" s="1"/>
  <c r="N359" i="14" s="1"/>
  <c r="O359" i="14" s="1"/>
  <c r="D360" i="14"/>
  <c r="F360" i="14"/>
  <c r="E360" i="14"/>
  <c r="A362" i="14"/>
  <c r="B361" i="14"/>
  <c r="L361" i="14"/>
  <c r="P359" i="14" l="1"/>
  <c r="G360" i="14"/>
  <c r="H360" i="14" s="1"/>
  <c r="I360" i="14" s="1"/>
  <c r="K360" i="14" s="1"/>
  <c r="M360" i="14" s="1"/>
  <c r="N360" i="14" s="1"/>
  <c r="O360" i="14" s="1"/>
  <c r="D361" i="14"/>
  <c r="F361" i="14"/>
  <c r="E361" i="14"/>
  <c r="A363" i="14"/>
  <c r="B362" i="14"/>
  <c r="L362" i="14"/>
  <c r="G361" i="14" l="1"/>
  <c r="H361" i="14" s="1"/>
  <c r="I361" i="14" s="1"/>
  <c r="K361" i="14" s="1"/>
  <c r="M361" i="14" s="1"/>
  <c r="N361" i="14" s="1"/>
  <c r="O361" i="14" s="1"/>
  <c r="P361" i="14" s="1"/>
  <c r="P360" i="14"/>
  <c r="D362" i="14"/>
  <c r="F362" i="14"/>
  <c r="E362" i="14"/>
  <c r="A364" i="14"/>
  <c r="B363" i="14"/>
  <c r="L363" i="14"/>
  <c r="G362" i="14" l="1"/>
  <c r="H362" i="14" s="1"/>
  <c r="I362" i="14" s="1"/>
  <c r="K362" i="14" s="1"/>
  <c r="M362" i="14" s="1"/>
  <c r="N362" i="14" s="1"/>
  <c r="O362" i="14" s="1"/>
  <c r="P362" i="14" s="1"/>
  <c r="D363" i="14"/>
  <c r="E363" i="14"/>
  <c r="F363" i="14"/>
  <c r="A365" i="14"/>
  <c r="B364" i="14"/>
  <c r="L364" i="14"/>
  <c r="G363" i="14" l="1"/>
  <c r="H363" i="14" s="1"/>
  <c r="I363" i="14" s="1"/>
  <c r="K363" i="14" s="1"/>
  <c r="M363" i="14" s="1"/>
  <c r="D364" i="14"/>
  <c r="F364" i="14"/>
  <c r="E364" i="14"/>
  <c r="A366" i="14"/>
  <c r="B365" i="14"/>
  <c r="L365" i="14"/>
  <c r="G364" i="14" l="1"/>
  <c r="H364" i="14" s="1"/>
  <c r="I364" i="14" s="1"/>
  <c r="K364" i="14" s="1"/>
  <c r="M364" i="14" s="1"/>
  <c r="N364" i="14" s="1"/>
  <c r="O364" i="14" s="1"/>
  <c r="P364" i="14" s="1"/>
  <c r="D365" i="14"/>
  <c r="F365" i="14"/>
  <c r="E365" i="14"/>
  <c r="A367" i="14"/>
  <c r="B366" i="14"/>
  <c r="L366" i="14"/>
  <c r="N363" i="14"/>
  <c r="O363" i="14" s="1"/>
  <c r="P363" i="14" s="1"/>
  <c r="G365" i="14" l="1"/>
  <c r="H365" i="14" s="1"/>
  <c r="I365" i="14" s="1"/>
  <c r="K365" i="14" s="1"/>
  <c r="M365" i="14" s="1"/>
  <c r="N365" i="14" s="1"/>
  <c r="O365" i="14" s="1"/>
  <c r="D366" i="14"/>
  <c r="F366" i="14"/>
  <c r="E366" i="14"/>
  <c r="A368" i="14"/>
  <c r="B367" i="14"/>
  <c r="L367" i="14"/>
  <c r="G366" i="14" l="1"/>
  <c r="H366" i="14" s="1"/>
  <c r="I366" i="14" s="1"/>
  <c r="K366" i="14" s="1"/>
  <c r="M366" i="14" s="1"/>
  <c r="N366" i="14" s="1"/>
  <c r="O366" i="14" s="1"/>
  <c r="P366" i="14" s="1"/>
  <c r="P365" i="14"/>
  <c r="D367" i="14"/>
  <c r="E367" i="14"/>
  <c r="F367" i="14"/>
  <c r="A369" i="14"/>
  <c r="B368" i="14"/>
  <c r="L368" i="14"/>
  <c r="A370" i="14" l="1"/>
  <c r="B369" i="14"/>
  <c r="L369" i="14"/>
  <c r="D368" i="14"/>
  <c r="F368" i="14"/>
  <c r="E368" i="14"/>
  <c r="G367" i="14"/>
  <c r="H367" i="14" s="1"/>
  <c r="I367" i="14" s="1"/>
  <c r="K367" i="14" s="1"/>
  <c r="M367" i="14" s="1"/>
  <c r="G368" i="14" l="1"/>
  <c r="H368" i="14" s="1"/>
  <c r="I368" i="14" s="1"/>
  <c r="K368" i="14" s="1"/>
  <c r="M368" i="14" s="1"/>
  <c r="N368" i="14" s="1"/>
  <c r="O368" i="14" s="1"/>
  <c r="P368" i="14" s="1"/>
  <c r="N367" i="14"/>
  <c r="O367" i="14" s="1"/>
  <c r="P367" i="14" s="1"/>
  <c r="D369" i="14"/>
  <c r="F369" i="14"/>
  <c r="E369" i="14"/>
  <c r="A371" i="14"/>
  <c r="B370" i="14"/>
  <c r="L370" i="14"/>
  <c r="D370" i="14" l="1"/>
  <c r="E370" i="14"/>
  <c r="F370" i="14"/>
  <c r="A372" i="14"/>
  <c r="B371" i="14"/>
  <c r="L371" i="14"/>
  <c r="G369" i="14"/>
  <c r="H369" i="14" s="1"/>
  <c r="I369" i="14" s="1"/>
  <c r="K369" i="14" s="1"/>
  <c r="M369" i="14" s="1"/>
  <c r="N369" i="14" s="1"/>
  <c r="O369" i="14" s="1"/>
  <c r="P369" i="14" s="1"/>
  <c r="D371" i="14" l="1"/>
  <c r="E371" i="14"/>
  <c r="F371" i="14"/>
  <c r="A373" i="14"/>
  <c r="B372" i="14"/>
  <c r="L372" i="14"/>
  <c r="G370" i="14"/>
  <c r="H370" i="14" s="1"/>
  <c r="I370" i="14" s="1"/>
  <c r="K370" i="14" s="1"/>
  <c r="M370" i="14" s="1"/>
  <c r="A374" i="14" l="1"/>
  <c r="B373" i="14"/>
  <c r="L373" i="14"/>
  <c r="N370" i="14"/>
  <c r="O370" i="14" s="1"/>
  <c r="P370" i="14" s="1"/>
  <c r="D372" i="14"/>
  <c r="F372" i="14"/>
  <c r="E372" i="14"/>
  <c r="G371" i="14"/>
  <c r="H371" i="14" s="1"/>
  <c r="I371" i="14" s="1"/>
  <c r="K371" i="14" s="1"/>
  <c r="M371" i="14" s="1"/>
  <c r="G372" i="14" l="1"/>
  <c r="H372" i="14" s="1"/>
  <c r="I372" i="14" s="1"/>
  <c r="K372" i="14" s="1"/>
  <c r="M372" i="14" s="1"/>
  <c r="N372" i="14" s="1"/>
  <c r="O372" i="14" s="1"/>
  <c r="P372" i="14" s="1"/>
  <c r="N371" i="14"/>
  <c r="O371" i="14" s="1"/>
  <c r="P371" i="14" s="1"/>
  <c r="D373" i="14"/>
  <c r="F373" i="14"/>
  <c r="E373" i="14"/>
  <c r="A375" i="14"/>
  <c r="B374" i="14"/>
  <c r="L374" i="14"/>
  <c r="G373" i="14" l="1"/>
  <c r="H373" i="14" s="1"/>
  <c r="I373" i="14" s="1"/>
  <c r="K373" i="14" s="1"/>
  <c r="M373" i="14" s="1"/>
  <c r="N373" i="14" s="1"/>
  <c r="O373" i="14" s="1"/>
  <c r="D374" i="14"/>
  <c r="F374" i="14"/>
  <c r="E374" i="14"/>
  <c r="A376" i="14"/>
  <c r="B375" i="14"/>
  <c r="L375" i="14"/>
  <c r="G374" i="14" l="1"/>
  <c r="H374" i="14" s="1"/>
  <c r="I374" i="14" s="1"/>
  <c r="K374" i="14" s="1"/>
  <c r="M374" i="14" s="1"/>
  <c r="N374" i="14" s="1"/>
  <c r="O374" i="14" s="1"/>
  <c r="P374" i="14" s="1"/>
  <c r="P373" i="14"/>
  <c r="A377" i="14"/>
  <c r="B376" i="14"/>
  <c r="L376" i="14"/>
  <c r="D375" i="14"/>
  <c r="F375" i="14"/>
  <c r="E375" i="14"/>
  <c r="G375" i="14" l="1"/>
  <c r="H375" i="14" s="1"/>
  <c r="I375" i="14" s="1"/>
  <c r="K375" i="14" s="1"/>
  <c r="M375" i="14" s="1"/>
  <c r="N375" i="14" s="1"/>
  <c r="O375" i="14" s="1"/>
  <c r="D376" i="14"/>
  <c r="F376" i="14"/>
  <c r="E376" i="14"/>
  <c r="A378" i="14"/>
  <c r="B377" i="14"/>
  <c r="L377" i="14"/>
  <c r="G376" i="14" l="1"/>
  <c r="H376" i="14" s="1"/>
  <c r="I376" i="14" s="1"/>
  <c r="K376" i="14" s="1"/>
  <c r="M376" i="14" s="1"/>
  <c r="N376" i="14" s="1"/>
  <c r="O376" i="14" s="1"/>
  <c r="P376" i="14" s="1"/>
  <c r="P375" i="14"/>
  <c r="D377" i="14"/>
  <c r="F377" i="14"/>
  <c r="E377" i="14"/>
  <c r="A379" i="14"/>
  <c r="B378" i="14"/>
  <c r="L378" i="14"/>
  <c r="D378" i="14" l="1"/>
  <c r="F378" i="14"/>
  <c r="E378" i="14"/>
  <c r="A380" i="14"/>
  <c r="B379" i="14"/>
  <c r="L379" i="14"/>
  <c r="G377" i="14"/>
  <c r="H377" i="14" s="1"/>
  <c r="I377" i="14" s="1"/>
  <c r="K377" i="14" s="1"/>
  <c r="M377" i="14" s="1"/>
  <c r="G378" i="14" l="1"/>
  <c r="H378" i="14" s="1"/>
  <c r="I378" i="14" s="1"/>
  <c r="K378" i="14" s="1"/>
  <c r="M378" i="14" s="1"/>
  <c r="N378" i="14" s="1"/>
  <c r="O378" i="14" s="1"/>
  <c r="P378" i="14" s="1"/>
  <c r="N377" i="14"/>
  <c r="O377" i="14" s="1"/>
  <c r="P377" i="14" s="1"/>
  <c r="A381" i="14"/>
  <c r="B380" i="14"/>
  <c r="L380" i="14"/>
  <c r="D379" i="14"/>
  <c r="F379" i="14"/>
  <c r="E379" i="14"/>
  <c r="G379" i="14" l="1"/>
  <c r="H379" i="14" s="1"/>
  <c r="I379" i="14" s="1"/>
  <c r="K379" i="14" s="1"/>
  <c r="M379" i="14" s="1"/>
  <c r="N379" i="14" s="1"/>
  <c r="O379" i="14" s="1"/>
  <c r="P379" i="14" s="1"/>
  <c r="D380" i="14"/>
  <c r="F380" i="14"/>
  <c r="E380" i="14"/>
  <c r="A382" i="14"/>
  <c r="B381" i="14"/>
  <c r="L381" i="14"/>
  <c r="G380" i="14" l="1"/>
  <c r="H380" i="14" s="1"/>
  <c r="I380" i="14" s="1"/>
  <c r="K380" i="14" s="1"/>
  <c r="M380" i="14" s="1"/>
  <c r="N380" i="14" s="1"/>
  <c r="O380" i="14" s="1"/>
  <c r="P380" i="14" s="1"/>
  <c r="D381" i="14"/>
  <c r="F381" i="14"/>
  <c r="E381" i="14"/>
  <c r="A383" i="14"/>
  <c r="B382" i="14"/>
  <c r="L382" i="14"/>
  <c r="G381" i="14" l="1"/>
  <c r="H381" i="14" s="1"/>
  <c r="I381" i="14" s="1"/>
  <c r="K381" i="14" s="1"/>
  <c r="M381" i="14" s="1"/>
  <c r="N381" i="14" s="1"/>
  <c r="O381" i="14" s="1"/>
  <c r="P381" i="14" s="1"/>
  <c r="D382" i="14"/>
  <c r="F382" i="14"/>
  <c r="E382" i="14"/>
  <c r="A384" i="14"/>
  <c r="B383" i="14"/>
  <c r="L383" i="14"/>
  <c r="G382" i="14" l="1"/>
  <c r="H382" i="14" s="1"/>
  <c r="I382" i="14" s="1"/>
  <c r="K382" i="14" s="1"/>
  <c r="M382" i="14" s="1"/>
  <c r="N382" i="14" s="1"/>
  <c r="O382" i="14" s="1"/>
  <c r="P382" i="14" s="1"/>
  <c r="A385" i="14"/>
  <c r="B384" i="14"/>
  <c r="L384" i="14"/>
  <c r="D383" i="14"/>
  <c r="F383" i="14"/>
  <c r="E383" i="14"/>
  <c r="G383" i="14" l="1"/>
  <c r="H383" i="14" s="1"/>
  <c r="I383" i="14" s="1"/>
  <c r="K383" i="14" s="1"/>
  <c r="M383" i="14" s="1"/>
  <c r="N383" i="14" s="1"/>
  <c r="O383" i="14" s="1"/>
  <c r="D384" i="14"/>
  <c r="F384" i="14"/>
  <c r="E384" i="14"/>
  <c r="A386" i="14"/>
  <c r="B385" i="14"/>
  <c r="L385" i="14"/>
  <c r="G384" i="14" l="1"/>
  <c r="H384" i="14" s="1"/>
  <c r="I384" i="14" s="1"/>
  <c r="K384" i="14" s="1"/>
  <c r="M384" i="14" s="1"/>
  <c r="N384" i="14" s="1"/>
  <c r="O384" i="14" s="1"/>
  <c r="P384" i="14" s="1"/>
  <c r="P383" i="14"/>
  <c r="D385" i="14"/>
  <c r="E385" i="14"/>
  <c r="F385" i="14"/>
  <c r="A387" i="14"/>
  <c r="B386" i="14"/>
  <c r="L386" i="14"/>
  <c r="G385" i="14" l="1"/>
  <c r="H385" i="14" s="1"/>
  <c r="I385" i="14" s="1"/>
  <c r="K385" i="14" s="1"/>
  <c r="M385" i="14" s="1"/>
  <c r="N385" i="14" s="1"/>
  <c r="O385" i="14" s="1"/>
  <c r="P385" i="14" s="1"/>
  <c r="D386" i="14"/>
  <c r="F386" i="14"/>
  <c r="E386" i="14"/>
  <c r="A388" i="14"/>
  <c r="B387" i="14"/>
  <c r="L387" i="14"/>
  <c r="G386" i="14" l="1"/>
  <c r="H386" i="14" s="1"/>
  <c r="I386" i="14" s="1"/>
  <c r="K386" i="14" s="1"/>
  <c r="M386" i="14" s="1"/>
  <c r="N386" i="14" s="1"/>
  <c r="O386" i="14" s="1"/>
  <c r="P386" i="14" s="1"/>
  <c r="D387" i="14"/>
  <c r="F387" i="14"/>
  <c r="E387" i="14"/>
  <c r="A389" i="14"/>
  <c r="B388" i="14"/>
  <c r="L388" i="14"/>
  <c r="G387" i="14" l="1"/>
  <c r="H387" i="14" s="1"/>
  <c r="I387" i="14" s="1"/>
  <c r="K387" i="14" s="1"/>
  <c r="M387" i="14" s="1"/>
  <c r="N387" i="14" s="1"/>
  <c r="O387" i="14" s="1"/>
  <c r="A390" i="14"/>
  <c r="B389" i="14"/>
  <c r="L389" i="14"/>
  <c r="D388" i="14"/>
  <c r="F388" i="14"/>
  <c r="E388" i="14"/>
  <c r="G388" i="14" l="1"/>
  <c r="H388" i="14" s="1"/>
  <c r="I388" i="14" s="1"/>
  <c r="K388" i="14" s="1"/>
  <c r="M388" i="14" s="1"/>
  <c r="N388" i="14" s="1"/>
  <c r="O388" i="14" s="1"/>
  <c r="P388" i="14" s="1"/>
  <c r="P387" i="14"/>
  <c r="D389" i="14"/>
  <c r="F389" i="14"/>
  <c r="E389" i="14"/>
  <c r="A391" i="14"/>
  <c r="B390" i="14"/>
  <c r="L390" i="14"/>
  <c r="G389" i="14" l="1"/>
  <c r="H389" i="14" s="1"/>
  <c r="I389" i="14" s="1"/>
  <c r="K389" i="14" s="1"/>
  <c r="M389" i="14" s="1"/>
  <c r="N389" i="14" s="1"/>
  <c r="O389" i="14" s="1"/>
  <c r="P389" i="14" s="1"/>
  <c r="D390" i="14"/>
  <c r="F390" i="14"/>
  <c r="E390" i="14"/>
  <c r="A392" i="14"/>
  <c r="B391" i="14"/>
  <c r="L391" i="14"/>
  <c r="G390" i="14" l="1"/>
  <c r="H390" i="14" s="1"/>
  <c r="I390" i="14" s="1"/>
  <c r="K390" i="14" s="1"/>
  <c r="M390" i="14" s="1"/>
  <c r="N390" i="14" s="1"/>
  <c r="O390" i="14" s="1"/>
  <c r="P390" i="14" s="1"/>
  <c r="A393" i="14"/>
  <c r="B392" i="14"/>
  <c r="L392" i="14"/>
  <c r="D391" i="14"/>
  <c r="F391" i="14"/>
  <c r="E391" i="14"/>
  <c r="D392" i="14" l="1"/>
  <c r="F392" i="14"/>
  <c r="E392" i="14"/>
  <c r="G391" i="14"/>
  <c r="H391" i="14" s="1"/>
  <c r="I391" i="14" s="1"/>
  <c r="K391" i="14" s="1"/>
  <c r="M391" i="14" s="1"/>
  <c r="A394" i="14"/>
  <c r="B393" i="14"/>
  <c r="L393" i="14"/>
  <c r="G392" i="14" l="1"/>
  <c r="H392" i="14" s="1"/>
  <c r="I392" i="14" s="1"/>
  <c r="K392" i="14" s="1"/>
  <c r="M392" i="14" s="1"/>
  <c r="N392" i="14" s="1"/>
  <c r="O392" i="14" s="1"/>
  <c r="P392" i="14" s="1"/>
  <c r="A395" i="14"/>
  <c r="B394" i="14"/>
  <c r="L394" i="14"/>
  <c r="N391" i="14"/>
  <c r="O391" i="14" s="1"/>
  <c r="P391" i="14" s="1"/>
  <c r="D393" i="14"/>
  <c r="F393" i="14"/>
  <c r="E393" i="14"/>
  <c r="G393" i="14" l="1"/>
  <c r="H393" i="14" s="1"/>
  <c r="I393" i="14" s="1"/>
  <c r="K393" i="14" s="1"/>
  <c r="M393" i="14" s="1"/>
  <c r="N393" i="14" s="1"/>
  <c r="O393" i="14" s="1"/>
  <c r="D394" i="14"/>
  <c r="F394" i="14"/>
  <c r="E394" i="14"/>
  <c r="A396" i="14"/>
  <c r="B395" i="14"/>
  <c r="L395" i="14"/>
  <c r="P393" i="14" l="1"/>
  <c r="G394" i="14"/>
  <c r="H394" i="14" s="1"/>
  <c r="I394" i="14" s="1"/>
  <c r="K394" i="14" s="1"/>
  <c r="M394" i="14" s="1"/>
  <c r="N394" i="14" s="1"/>
  <c r="O394" i="14" s="1"/>
  <c r="D395" i="14"/>
  <c r="E395" i="14"/>
  <c r="F395" i="14"/>
  <c r="A397" i="14"/>
  <c r="B396" i="14"/>
  <c r="L396" i="14"/>
  <c r="G395" i="14" l="1"/>
  <c r="H395" i="14" s="1"/>
  <c r="I395" i="14" s="1"/>
  <c r="K395" i="14" s="1"/>
  <c r="M395" i="14" s="1"/>
  <c r="N395" i="14" s="1"/>
  <c r="O395" i="14" s="1"/>
  <c r="P395" i="14" s="1"/>
  <c r="P394" i="14"/>
  <c r="D396" i="14"/>
  <c r="F396" i="14"/>
  <c r="E396" i="14"/>
  <c r="A398" i="14"/>
  <c r="B397" i="14"/>
  <c r="L397" i="14"/>
  <c r="G396" i="14" l="1"/>
  <c r="H396" i="14" s="1"/>
  <c r="I396" i="14" s="1"/>
  <c r="K396" i="14" s="1"/>
  <c r="M396" i="14" s="1"/>
  <c r="N396" i="14" s="1"/>
  <c r="O396" i="14" s="1"/>
  <c r="P396" i="14" s="1"/>
  <c r="D397" i="14"/>
  <c r="F397" i="14"/>
  <c r="E397" i="14"/>
  <c r="A399" i="14"/>
  <c r="B398" i="14"/>
  <c r="L398" i="14"/>
  <c r="G397" i="14" l="1"/>
  <c r="H397" i="14" s="1"/>
  <c r="I397" i="14" s="1"/>
  <c r="K397" i="14" s="1"/>
  <c r="M397" i="14" s="1"/>
  <c r="N397" i="14" s="1"/>
  <c r="O397" i="14" s="1"/>
  <c r="P397" i="14" s="1"/>
  <c r="D398" i="14"/>
  <c r="F398" i="14"/>
  <c r="E398" i="14"/>
  <c r="A400" i="14"/>
  <c r="B399" i="14"/>
  <c r="L399" i="14"/>
  <c r="G398" i="14" l="1"/>
  <c r="H398" i="14" s="1"/>
  <c r="I398" i="14" s="1"/>
  <c r="K398" i="14" s="1"/>
  <c r="M398" i="14" s="1"/>
  <c r="N398" i="14" s="1"/>
  <c r="O398" i="14" s="1"/>
  <c r="P398" i="14" s="1"/>
  <c r="A401" i="14"/>
  <c r="B400" i="14"/>
  <c r="L400" i="14"/>
  <c r="D399" i="14"/>
  <c r="E399" i="14"/>
  <c r="F399" i="14"/>
  <c r="G399" i="14" l="1"/>
  <c r="H399" i="14" s="1"/>
  <c r="I399" i="14" s="1"/>
  <c r="K399" i="14" s="1"/>
  <c r="M399" i="14" s="1"/>
  <c r="N399" i="14" s="1"/>
  <c r="O399" i="14" s="1"/>
  <c r="D400" i="14"/>
  <c r="F400" i="14"/>
  <c r="E400" i="14"/>
  <c r="A402" i="14"/>
  <c r="B401" i="14"/>
  <c r="L401" i="14"/>
  <c r="G400" i="14" l="1"/>
  <c r="H400" i="14" s="1"/>
  <c r="I400" i="14" s="1"/>
  <c r="K400" i="14" s="1"/>
  <c r="M400" i="14" s="1"/>
  <c r="N400" i="14" s="1"/>
  <c r="O400" i="14" s="1"/>
  <c r="P400" i="14" s="1"/>
  <c r="P399" i="14"/>
  <c r="D401" i="14"/>
  <c r="F401" i="14"/>
  <c r="E401" i="14"/>
  <c r="A403" i="14"/>
  <c r="B402" i="14"/>
  <c r="L402" i="14"/>
  <c r="G401" i="14" l="1"/>
  <c r="H401" i="14" s="1"/>
  <c r="I401" i="14" s="1"/>
  <c r="K401" i="14" s="1"/>
  <c r="M401" i="14" s="1"/>
  <c r="D402" i="14"/>
  <c r="F402" i="14"/>
  <c r="E402" i="14"/>
  <c r="A404" i="14"/>
  <c r="B403" i="14"/>
  <c r="L403" i="14"/>
  <c r="G402" i="14" l="1"/>
  <c r="H402" i="14" s="1"/>
  <c r="I402" i="14" s="1"/>
  <c r="K402" i="14" s="1"/>
  <c r="M402" i="14" s="1"/>
  <c r="N402" i="14" s="1"/>
  <c r="O402" i="14" s="1"/>
  <c r="P402" i="14" s="1"/>
  <c r="N401" i="14"/>
  <c r="O401" i="14" s="1"/>
  <c r="P401" i="14" s="1"/>
  <c r="D403" i="14"/>
  <c r="E403" i="14"/>
  <c r="F403" i="14"/>
  <c r="A405" i="14"/>
  <c r="B404" i="14"/>
  <c r="L404" i="14"/>
  <c r="G403" i="14" l="1"/>
  <c r="H403" i="14" s="1"/>
  <c r="I403" i="14" s="1"/>
  <c r="K403" i="14" s="1"/>
  <c r="M403" i="14" s="1"/>
  <c r="N403" i="14" s="1"/>
  <c r="O403" i="14" s="1"/>
  <c r="A406" i="14"/>
  <c r="B405" i="14"/>
  <c r="L405" i="14"/>
  <c r="D404" i="14"/>
  <c r="F404" i="14"/>
  <c r="E404" i="14"/>
  <c r="P403" i="14" l="1"/>
  <c r="G404" i="14"/>
  <c r="H404" i="14" s="1"/>
  <c r="I404" i="14" s="1"/>
  <c r="K404" i="14" s="1"/>
  <c r="M404" i="14" s="1"/>
  <c r="N404" i="14" s="1"/>
  <c r="O404" i="14" s="1"/>
  <c r="P404" i="14" s="1"/>
  <c r="D405" i="14"/>
  <c r="F405" i="14"/>
  <c r="E405" i="14"/>
  <c r="A407" i="14"/>
  <c r="B406" i="14"/>
  <c r="L406" i="14"/>
  <c r="G405" i="14" l="1"/>
  <c r="H405" i="14" s="1"/>
  <c r="I405" i="14" s="1"/>
  <c r="K405" i="14" s="1"/>
  <c r="M405" i="14" s="1"/>
  <c r="N405" i="14" s="1"/>
  <c r="O405" i="14" s="1"/>
  <c r="D406" i="14"/>
  <c r="F406" i="14"/>
  <c r="E406" i="14"/>
  <c r="A408" i="14"/>
  <c r="B407" i="14"/>
  <c r="L407" i="14"/>
  <c r="G406" i="14" l="1"/>
  <c r="H406" i="14" s="1"/>
  <c r="I406" i="14" s="1"/>
  <c r="K406" i="14" s="1"/>
  <c r="M406" i="14" s="1"/>
  <c r="P405" i="14"/>
  <c r="D407" i="14"/>
  <c r="F407" i="14"/>
  <c r="E407" i="14"/>
  <c r="A409" i="14"/>
  <c r="B408" i="14"/>
  <c r="L408" i="14"/>
  <c r="G407" i="14" l="1"/>
  <c r="H407" i="14" s="1"/>
  <c r="I407" i="14" s="1"/>
  <c r="K407" i="14" s="1"/>
  <c r="M407" i="14" s="1"/>
  <c r="N407" i="14" s="1"/>
  <c r="O407" i="14" s="1"/>
  <c r="P407" i="14" s="1"/>
  <c r="N406" i="14"/>
  <c r="O406" i="14" s="1"/>
  <c r="P406" i="14" s="1"/>
  <c r="D408" i="14"/>
  <c r="F408" i="14"/>
  <c r="E408" i="14"/>
  <c r="A410" i="14"/>
  <c r="B409" i="14"/>
  <c r="L409" i="14"/>
  <c r="G408" i="14" l="1"/>
  <c r="H408" i="14" s="1"/>
  <c r="I408" i="14" s="1"/>
  <c r="K408" i="14" s="1"/>
  <c r="M408" i="14" s="1"/>
  <c r="N408" i="14" s="1"/>
  <c r="O408" i="14" s="1"/>
  <c r="P408" i="14" s="1"/>
  <c r="A411" i="14"/>
  <c r="B410" i="14"/>
  <c r="L410" i="14"/>
  <c r="D409" i="14"/>
  <c r="F409" i="14"/>
  <c r="E409" i="14"/>
  <c r="D410" i="14" l="1"/>
  <c r="F410" i="14"/>
  <c r="E410" i="14"/>
  <c r="A412" i="14"/>
  <c r="B411" i="14"/>
  <c r="L411" i="14"/>
  <c r="G409" i="14"/>
  <c r="H409" i="14" s="1"/>
  <c r="I409" i="14" s="1"/>
  <c r="K409" i="14" s="1"/>
  <c r="M409" i="14" s="1"/>
  <c r="G410" i="14" l="1"/>
  <c r="H410" i="14" s="1"/>
  <c r="I410" i="14" s="1"/>
  <c r="K410" i="14" s="1"/>
  <c r="M410" i="14" s="1"/>
  <c r="D411" i="14"/>
  <c r="F411" i="14"/>
  <c r="E411" i="14"/>
  <c r="A413" i="14"/>
  <c r="B412" i="14"/>
  <c r="L412" i="14"/>
  <c r="N409" i="14"/>
  <c r="O409" i="14" s="1"/>
  <c r="P409" i="14" s="1"/>
  <c r="G411" i="14" l="1"/>
  <c r="H411" i="14" s="1"/>
  <c r="I411" i="14" s="1"/>
  <c r="K411" i="14" s="1"/>
  <c r="M411" i="14" s="1"/>
  <c r="N411" i="14" s="1"/>
  <c r="O411" i="14" s="1"/>
  <c r="P411" i="14" s="1"/>
  <c r="N410" i="14"/>
  <c r="O410" i="14" s="1"/>
  <c r="P410" i="14" s="1"/>
  <c r="A414" i="14"/>
  <c r="B413" i="14"/>
  <c r="L413" i="14"/>
  <c r="D412" i="14"/>
  <c r="F412" i="14"/>
  <c r="E412" i="14"/>
  <c r="G412" i="14" l="1"/>
  <c r="H412" i="14" s="1"/>
  <c r="I412" i="14" s="1"/>
  <c r="K412" i="14" s="1"/>
  <c r="M412" i="14" s="1"/>
  <c r="N412" i="14" s="1"/>
  <c r="O412" i="14" s="1"/>
  <c r="D413" i="14"/>
  <c r="F413" i="14"/>
  <c r="E413" i="14"/>
  <c r="A415" i="14"/>
  <c r="B414" i="14"/>
  <c r="L414" i="14"/>
  <c r="G413" i="14" l="1"/>
  <c r="H413" i="14" s="1"/>
  <c r="I413" i="14" s="1"/>
  <c r="K413" i="14" s="1"/>
  <c r="M413" i="14" s="1"/>
  <c r="N413" i="14" s="1"/>
  <c r="O413" i="14" s="1"/>
  <c r="P413" i="14" s="1"/>
  <c r="P412" i="14"/>
  <c r="D414" i="14"/>
  <c r="E414" i="14"/>
  <c r="F414" i="14"/>
  <c r="A416" i="14"/>
  <c r="B415" i="14"/>
  <c r="L415" i="14"/>
  <c r="G414" i="14" l="1"/>
  <c r="H414" i="14" s="1"/>
  <c r="I414" i="14" s="1"/>
  <c r="K414" i="14" s="1"/>
  <c r="M414" i="14" s="1"/>
  <c r="A417" i="14"/>
  <c r="B416" i="14"/>
  <c r="L416" i="14"/>
  <c r="D415" i="14"/>
  <c r="F415" i="14"/>
  <c r="E415" i="14"/>
  <c r="G415" i="14" l="1"/>
  <c r="H415" i="14" s="1"/>
  <c r="I415" i="14" s="1"/>
  <c r="K415" i="14" s="1"/>
  <c r="M415" i="14" s="1"/>
  <c r="N415" i="14" s="1"/>
  <c r="O415" i="14" s="1"/>
  <c r="N414" i="14"/>
  <c r="O414" i="14" s="1"/>
  <c r="P414" i="14" s="1"/>
  <c r="D416" i="14"/>
  <c r="F416" i="14"/>
  <c r="E416" i="14"/>
  <c r="A418" i="14"/>
  <c r="B417" i="14"/>
  <c r="L417" i="14"/>
  <c r="P415" i="14" l="1"/>
  <c r="G416" i="14"/>
  <c r="H416" i="14" s="1"/>
  <c r="I416" i="14" s="1"/>
  <c r="K416" i="14" s="1"/>
  <c r="M416" i="14" s="1"/>
  <c r="N416" i="14" s="1"/>
  <c r="O416" i="14" s="1"/>
  <c r="P416" i="14" s="1"/>
  <c r="D417" i="14"/>
  <c r="E417" i="14"/>
  <c r="F417" i="14"/>
  <c r="A419" i="14"/>
  <c r="B418" i="14"/>
  <c r="L418" i="14"/>
  <c r="A420" i="14" l="1"/>
  <c r="B419" i="14"/>
  <c r="L419" i="14"/>
  <c r="D418" i="14"/>
  <c r="F418" i="14"/>
  <c r="E418" i="14"/>
  <c r="G417" i="14"/>
  <c r="G418" i="14" l="1"/>
  <c r="H418" i="14" s="1"/>
  <c r="I418" i="14" s="1"/>
  <c r="K418" i="14" s="1"/>
  <c r="M418" i="14" s="1"/>
  <c r="N418" i="14" s="1"/>
  <c r="O418" i="14" s="1"/>
  <c r="H417" i="14"/>
  <c r="I417" i="14" s="1"/>
  <c r="K417" i="14" s="1"/>
  <c r="M417" i="14" s="1"/>
  <c r="D419" i="14"/>
  <c r="F419" i="14"/>
  <c r="E419" i="14"/>
  <c r="A421" i="14"/>
  <c r="B420" i="14"/>
  <c r="L420" i="14"/>
  <c r="G419" i="14" l="1"/>
  <c r="H419" i="14" s="1"/>
  <c r="I419" i="14" s="1"/>
  <c r="K419" i="14" s="1"/>
  <c r="M419" i="14" s="1"/>
  <c r="N419" i="14" s="1"/>
  <c r="O419" i="14" s="1"/>
  <c r="P419" i="14" s="1"/>
  <c r="P418" i="14"/>
  <c r="N417" i="14"/>
  <c r="O417" i="14" s="1"/>
  <c r="P417" i="14" s="1"/>
  <c r="A422" i="14"/>
  <c r="B421" i="14"/>
  <c r="L421" i="14"/>
  <c r="D420" i="14"/>
  <c r="E420" i="14"/>
  <c r="F420" i="14"/>
  <c r="G420" i="14" l="1"/>
  <c r="H420" i="14" s="1"/>
  <c r="I420" i="14" s="1"/>
  <c r="K420" i="14" s="1"/>
  <c r="M420" i="14" s="1"/>
  <c r="N420" i="14" s="1"/>
  <c r="O420" i="14" s="1"/>
  <c r="P420" i="14" s="1"/>
  <c r="D421" i="14"/>
  <c r="F421" i="14"/>
  <c r="E421" i="14"/>
  <c r="A423" i="14"/>
  <c r="B422" i="14"/>
  <c r="L422" i="14"/>
  <c r="G421" i="14" l="1"/>
  <c r="H421" i="14" s="1"/>
  <c r="I421" i="14" s="1"/>
  <c r="K421" i="14" s="1"/>
  <c r="M421" i="14" s="1"/>
  <c r="N421" i="14" s="1"/>
  <c r="O421" i="14" s="1"/>
  <c r="P421" i="14" s="1"/>
  <c r="A424" i="14"/>
  <c r="B423" i="14"/>
  <c r="L423" i="14"/>
  <c r="D422" i="14"/>
  <c r="E422" i="14"/>
  <c r="F422" i="14"/>
  <c r="G422" i="14" l="1"/>
  <c r="H422" i="14" s="1"/>
  <c r="I422" i="14" s="1"/>
  <c r="K422" i="14" s="1"/>
  <c r="M422" i="14" s="1"/>
  <c r="N422" i="14" s="1"/>
  <c r="O422" i="14" s="1"/>
  <c r="D423" i="14"/>
  <c r="F423" i="14"/>
  <c r="E423" i="14"/>
  <c r="A425" i="14"/>
  <c r="B424" i="14"/>
  <c r="L424" i="14"/>
  <c r="G423" i="14" l="1"/>
  <c r="H423" i="14" s="1"/>
  <c r="I423" i="14" s="1"/>
  <c r="K423" i="14" s="1"/>
  <c r="M423" i="14" s="1"/>
  <c r="N423" i="14" s="1"/>
  <c r="O423" i="14" s="1"/>
  <c r="P423" i="14" s="1"/>
  <c r="P422" i="14"/>
  <c r="A426" i="14"/>
  <c r="B425" i="14"/>
  <c r="L425" i="14"/>
  <c r="D424" i="14"/>
  <c r="E424" i="14"/>
  <c r="F424" i="14"/>
  <c r="G424" i="14" l="1"/>
  <c r="H424" i="14" s="1"/>
  <c r="I424" i="14" s="1"/>
  <c r="K424" i="14" s="1"/>
  <c r="M424" i="14" s="1"/>
  <c r="D425" i="14"/>
  <c r="F425" i="14"/>
  <c r="E425" i="14"/>
  <c r="A427" i="14"/>
  <c r="B426" i="14"/>
  <c r="L426" i="14"/>
  <c r="G425" i="14" l="1"/>
  <c r="H425" i="14" s="1"/>
  <c r="I425" i="14" s="1"/>
  <c r="K425" i="14" s="1"/>
  <c r="M425" i="14" s="1"/>
  <c r="N425" i="14" s="1"/>
  <c r="O425" i="14" s="1"/>
  <c r="P425" i="14" s="1"/>
  <c r="D426" i="14"/>
  <c r="F426" i="14"/>
  <c r="E426" i="14"/>
  <c r="A428" i="14"/>
  <c r="B427" i="14"/>
  <c r="L427" i="14"/>
  <c r="N424" i="14"/>
  <c r="O424" i="14" s="1"/>
  <c r="P424" i="14" s="1"/>
  <c r="G426" i="14" l="1"/>
  <c r="H426" i="14" s="1"/>
  <c r="I426" i="14" s="1"/>
  <c r="K426" i="14" s="1"/>
  <c r="M426" i="14" s="1"/>
  <c r="N426" i="14" s="1"/>
  <c r="O426" i="14" s="1"/>
  <c r="P426" i="14" s="1"/>
  <c r="D427" i="14"/>
  <c r="F427" i="14"/>
  <c r="E427" i="14"/>
  <c r="A429" i="14"/>
  <c r="B428" i="14"/>
  <c r="L428" i="14"/>
  <c r="G427" i="14" l="1"/>
  <c r="H427" i="14" s="1"/>
  <c r="I427" i="14" s="1"/>
  <c r="K427" i="14" s="1"/>
  <c r="M427" i="14" s="1"/>
  <c r="A430" i="14"/>
  <c r="B429" i="14"/>
  <c r="L429" i="14"/>
  <c r="D428" i="14"/>
  <c r="E428" i="14"/>
  <c r="F428" i="14"/>
  <c r="G428" i="14" l="1"/>
  <c r="H428" i="14" s="1"/>
  <c r="I428" i="14" s="1"/>
  <c r="K428" i="14" s="1"/>
  <c r="M428" i="14" s="1"/>
  <c r="N428" i="14" s="1"/>
  <c r="O428" i="14" s="1"/>
  <c r="N427" i="14"/>
  <c r="O427" i="14" s="1"/>
  <c r="P427" i="14" s="1"/>
  <c r="D429" i="14"/>
  <c r="F429" i="14"/>
  <c r="E429" i="14"/>
  <c r="A431" i="14"/>
  <c r="B430" i="14"/>
  <c r="L430" i="14"/>
  <c r="G429" i="14" l="1"/>
  <c r="H429" i="14" s="1"/>
  <c r="I429" i="14" s="1"/>
  <c r="K429" i="14" s="1"/>
  <c r="M429" i="14" s="1"/>
  <c r="N429" i="14" s="1"/>
  <c r="O429" i="14" s="1"/>
  <c r="P428" i="14"/>
  <c r="A432" i="14"/>
  <c r="B431" i="14"/>
  <c r="L431" i="14"/>
  <c r="D430" i="14"/>
  <c r="E430" i="14"/>
  <c r="F430" i="14"/>
  <c r="G430" i="14" l="1"/>
  <c r="H430" i="14" s="1"/>
  <c r="I430" i="14" s="1"/>
  <c r="K430" i="14" s="1"/>
  <c r="M430" i="14" s="1"/>
  <c r="N430" i="14" s="1"/>
  <c r="O430" i="14" s="1"/>
  <c r="P430" i="14" s="1"/>
  <c r="P429" i="14"/>
  <c r="D431" i="14"/>
  <c r="E431" i="14"/>
  <c r="F431" i="14"/>
  <c r="A433" i="14"/>
  <c r="B432" i="14"/>
  <c r="L432" i="14"/>
  <c r="G431" i="14" l="1"/>
  <c r="H431" i="14" s="1"/>
  <c r="I431" i="14" s="1"/>
  <c r="K431" i="14" s="1"/>
  <c r="M431" i="14" s="1"/>
  <c r="N431" i="14" s="1"/>
  <c r="O431" i="14" s="1"/>
  <c r="A434" i="14"/>
  <c r="B433" i="14"/>
  <c r="L433" i="14"/>
  <c r="D432" i="14"/>
  <c r="F432" i="14"/>
  <c r="E432" i="14"/>
  <c r="G432" i="14" l="1"/>
  <c r="H432" i="14" s="1"/>
  <c r="I432" i="14" s="1"/>
  <c r="K432" i="14" s="1"/>
  <c r="M432" i="14" s="1"/>
  <c r="N432" i="14" s="1"/>
  <c r="O432" i="14" s="1"/>
  <c r="P431" i="14"/>
  <c r="D433" i="14"/>
  <c r="F433" i="14"/>
  <c r="E433" i="14"/>
  <c r="A435" i="14"/>
  <c r="B434" i="14"/>
  <c r="L434" i="14"/>
  <c r="P432" i="14" l="1"/>
  <c r="G433" i="14"/>
  <c r="H433" i="14" s="1"/>
  <c r="I433" i="14" s="1"/>
  <c r="K433" i="14" s="1"/>
  <c r="M433" i="14" s="1"/>
  <c r="N433" i="14" s="1"/>
  <c r="O433" i="14" s="1"/>
  <c r="P433" i="14" s="1"/>
  <c r="A436" i="14"/>
  <c r="B435" i="14"/>
  <c r="L435" i="14"/>
  <c r="D434" i="14"/>
  <c r="F434" i="14"/>
  <c r="E434" i="14"/>
  <c r="G434" i="14" l="1"/>
  <c r="H434" i="14" s="1"/>
  <c r="I434" i="14" s="1"/>
  <c r="K434" i="14" s="1"/>
  <c r="M434" i="14" s="1"/>
  <c r="N434" i="14" s="1"/>
  <c r="O434" i="14" s="1"/>
  <c r="D435" i="14"/>
  <c r="E435" i="14"/>
  <c r="F435" i="14"/>
  <c r="A437" i="14"/>
  <c r="B436" i="14"/>
  <c r="L436" i="14"/>
  <c r="G435" i="14" l="1"/>
  <c r="H435" i="14" s="1"/>
  <c r="I435" i="14" s="1"/>
  <c r="K435" i="14" s="1"/>
  <c r="M435" i="14" s="1"/>
  <c r="N435" i="14" s="1"/>
  <c r="O435" i="14" s="1"/>
  <c r="P434" i="14"/>
  <c r="D436" i="14"/>
  <c r="E436" i="14"/>
  <c r="F436" i="14"/>
  <c r="A438" i="14"/>
  <c r="B437" i="14"/>
  <c r="L437" i="14"/>
  <c r="P435" i="14" l="1"/>
  <c r="A439" i="14"/>
  <c r="B438" i="14"/>
  <c r="L438" i="14"/>
  <c r="D437" i="14"/>
  <c r="E437" i="14"/>
  <c r="F437" i="14"/>
  <c r="G436" i="14"/>
  <c r="H436" i="14" s="1"/>
  <c r="I436" i="14" s="1"/>
  <c r="K436" i="14" s="1"/>
  <c r="M436" i="14" s="1"/>
  <c r="N436" i="14" l="1"/>
  <c r="O436" i="14" s="1"/>
  <c r="P436" i="14" s="1"/>
  <c r="D438" i="14"/>
  <c r="E438" i="14"/>
  <c r="F438" i="14"/>
  <c r="G437" i="14"/>
  <c r="H437" i="14" s="1"/>
  <c r="I437" i="14" s="1"/>
  <c r="K437" i="14" s="1"/>
  <c r="M437" i="14" s="1"/>
  <c r="A440" i="14"/>
  <c r="B439" i="14"/>
  <c r="L439" i="14"/>
  <c r="G438" i="14" l="1"/>
  <c r="H438" i="14" s="1"/>
  <c r="I438" i="14" s="1"/>
  <c r="K438" i="14" s="1"/>
  <c r="M438" i="14" s="1"/>
  <c r="N438" i="14" s="1"/>
  <c r="O438" i="14" s="1"/>
  <c r="N437" i="14"/>
  <c r="O437" i="14" s="1"/>
  <c r="P437" i="14" s="1"/>
  <c r="D439" i="14"/>
  <c r="F439" i="14"/>
  <c r="E439" i="14"/>
  <c r="A441" i="14"/>
  <c r="B440" i="14"/>
  <c r="L440" i="14"/>
  <c r="P438" i="14" l="1"/>
  <c r="A442" i="14"/>
  <c r="B441" i="14"/>
  <c r="L441" i="14"/>
  <c r="G439" i="14"/>
  <c r="H439" i="14" s="1"/>
  <c r="I439" i="14" s="1"/>
  <c r="K439" i="14" s="1"/>
  <c r="M439" i="14" s="1"/>
  <c r="D440" i="14"/>
  <c r="F440" i="14"/>
  <c r="E440" i="14"/>
  <c r="G440" i="14" l="1"/>
  <c r="H440" i="14" s="1"/>
  <c r="I440" i="14" s="1"/>
  <c r="K440" i="14" s="1"/>
  <c r="M440" i="14" s="1"/>
  <c r="N440" i="14" s="1"/>
  <c r="O440" i="14" s="1"/>
  <c r="P440" i="14" s="1"/>
  <c r="D441" i="14"/>
  <c r="F441" i="14"/>
  <c r="E441" i="14"/>
  <c r="N439" i="14"/>
  <c r="O439" i="14" s="1"/>
  <c r="P439" i="14" s="1"/>
  <c r="A443" i="14"/>
  <c r="B442" i="14"/>
  <c r="L442" i="14"/>
  <c r="G441" i="14" l="1"/>
  <c r="H441" i="14" s="1"/>
  <c r="I441" i="14" s="1"/>
  <c r="K441" i="14" s="1"/>
  <c r="M441" i="14" s="1"/>
  <c r="N441" i="14" s="1"/>
  <c r="O441" i="14" s="1"/>
  <c r="P441" i="14" s="1"/>
  <c r="A444" i="14"/>
  <c r="B443" i="14"/>
  <c r="L443" i="14"/>
  <c r="D442" i="14"/>
  <c r="F442" i="14"/>
  <c r="E442" i="14"/>
  <c r="G442" i="14" l="1"/>
  <c r="H442" i="14" s="1"/>
  <c r="I442" i="14" s="1"/>
  <c r="K442" i="14" s="1"/>
  <c r="M442" i="14" s="1"/>
  <c r="N442" i="14" s="1"/>
  <c r="O442" i="14" s="1"/>
  <c r="D443" i="14"/>
  <c r="F443" i="14"/>
  <c r="E443" i="14"/>
  <c r="A445" i="14"/>
  <c r="B444" i="14"/>
  <c r="L444" i="14"/>
  <c r="G443" i="14" l="1"/>
  <c r="H443" i="14" s="1"/>
  <c r="I443" i="14" s="1"/>
  <c r="K443" i="14" s="1"/>
  <c r="M443" i="14" s="1"/>
  <c r="N443" i="14" s="1"/>
  <c r="O443" i="14" s="1"/>
  <c r="P443" i="14" s="1"/>
  <c r="P442" i="14"/>
  <c r="A446" i="14"/>
  <c r="B445" i="14"/>
  <c r="L445" i="14"/>
  <c r="D444" i="14"/>
  <c r="F444" i="14"/>
  <c r="E444" i="14"/>
  <c r="G444" i="14" l="1"/>
  <c r="H444" i="14" s="1"/>
  <c r="I444" i="14" s="1"/>
  <c r="K444" i="14" s="1"/>
  <c r="M444" i="14" s="1"/>
  <c r="N444" i="14" s="1"/>
  <c r="O444" i="14" s="1"/>
  <c r="D445" i="14"/>
  <c r="F445" i="14"/>
  <c r="E445" i="14"/>
  <c r="A447" i="14"/>
  <c r="B446" i="14"/>
  <c r="L446" i="14"/>
  <c r="G445" i="14" l="1"/>
  <c r="H445" i="14" s="1"/>
  <c r="I445" i="14" s="1"/>
  <c r="K445" i="14" s="1"/>
  <c r="M445" i="14" s="1"/>
  <c r="N445" i="14" s="1"/>
  <c r="O445" i="14" s="1"/>
  <c r="P445" i="14" s="1"/>
  <c r="P444" i="14"/>
  <c r="A448" i="14"/>
  <c r="B447" i="14"/>
  <c r="L447" i="14"/>
  <c r="D446" i="14"/>
  <c r="E446" i="14"/>
  <c r="F446" i="14"/>
  <c r="G446" i="14" l="1"/>
  <c r="H446" i="14" s="1"/>
  <c r="I446" i="14" s="1"/>
  <c r="K446" i="14" s="1"/>
  <c r="M446" i="14" s="1"/>
  <c r="N446" i="14" s="1"/>
  <c r="O446" i="14" s="1"/>
  <c r="D447" i="14"/>
  <c r="F447" i="14"/>
  <c r="E447" i="14"/>
  <c r="A449" i="14"/>
  <c r="B448" i="14"/>
  <c r="L448" i="14"/>
  <c r="G447" i="14" l="1"/>
  <c r="H447" i="14" s="1"/>
  <c r="I447" i="14" s="1"/>
  <c r="K447" i="14" s="1"/>
  <c r="M447" i="14" s="1"/>
  <c r="N447" i="14" s="1"/>
  <c r="O447" i="14" s="1"/>
  <c r="P446" i="14"/>
  <c r="D448" i="14"/>
  <c r="F448" i="14"/>
  <c r="E448" i="14"/>
  <c r="A450" i="14"/>
  <c r="B449" i="14"/>
  <c r="L449" i="14"/>
  <c r="G448" i="14" l="1"/>
  <c r="H448" i="14" s="1"/>
  <c r="I448" i="14" s="1"/>
  <c r="K448" i="14" s="1"/>
  <c r="M448" i="14" s="1"/>
  <c r="P447" i="14"/>
  <c r="A451" i="14"/>
  <c r="B450" i="14"/>
  <c r="L450" i="14"/>
  <c r="D449" i="14"/>
  <c r="F449" i="14"/>
  <c r="E449" i="14"/>
  <c r="G449" i="14" l="1"/>
  <c r="H449" i="14" s="1"/>
  <c r="I449" i="14" s="1"/>
  <c r="K449" i="14" s="1"/>
  <c r="M449" i="14" s="1"/>
  <c r="N449" i="14" s="1"/>
  <c r="O449" i="14" s="1"/>
  <c r="P449" i="14" s="1"/>
  <c r="N448" i="14"/>
  <c r="O448" i="14" s="1"/>
  <c r="P448" i="14" s="1"/>
  <c r="D450" i="14"/>
  <c r="F450" i="14"/>
  <c r="E450" i="14"/>
  <c r="A452" i="14"/>
  <c r="B451" i="14"/>
  <c r="L451" i="14"/>
  <c r="G450" i="14" l="1"/>
  <c r="H450" i="14" s="1"/>
  <c r="I450" i="14" s="1"/>
  <c r="K450" i="14" s="1"/>
  <c r="M450" i="14" s="1"/>
  <c r="N450" i="14" s="1"/>
  <c r="O450" i="14" s="1"/>
  <c r="D451" i="14"/>
  <c r="F451" i="14"/>
  <c r="E451" i="14"/>
  <c r="A453" i="14"/>
  <c r="B452" i="14"/>
  <c r="L452" i="14"/>
  <c r="G451" i="14" l="1"/>
  <c r="H451" i="14" s="1"/>
  <c r="I451" i="14" s="1"/>
  <c r="K451" i="14" s="1"/>
  <c r="M451" i="14" s="1"/>
  <c r="N451" i="14" s="1"/>
  <c r="O451" i="14" s="1"/>
  <c r="P450" i="14"/>
  <c r="D452" i="14"/>
  <c r="F452" i="14"/>
  <c r="E452" i="14"/>
  <c r="A454" i="14"/>
  <c r="B453" i="14"/>
  <c r="L453" i="14"/>
  <c r="G452" i="14" l="1"/>
  <c r="H452" i="14" s="1"/>
  <c r="I452" i="14" s="1"/>
  <c r="K452" i="14" s="1"/>
  <c r="M452" i="14" s="1"/>
  <c r="N452" i="14" s="1"/>
  <c r="O452" i="14" s="1"/>
  <c r="P452" i="14" s="1"/>
  <c r="P451" i="14"/>
  <c r="A455" i="14"/>
  <c r="B454" i="14"/>
  <c r="L454" i="14"/>
  <c r="D453" i="14"/>
  <c r="F453" i="14"/>
  <c r="E453" i="14"/>
  <c r="G453" i="14" l="1"/>
  <c r="H453" i="14" s="1"/>
  <c r="I453" i="14" s="1"/>
  <c r="K453" i="14" s="1"/>
  <c r="M453" i="14" s="1"/>
  <c r="N453" i="14" s="1"/>
  <c r="O453" i="14" s="1"/>
  <c r="D454" i="14"/>
  <c r="E454" i="14"/>
  <c r="F454" i="14"/>
  <c r="A456" i="14"/>
  <c r="B455" i="14"/>
  <c r="L455" i="14"/>
  <c r="G454" i="14" l="1"/>
  <c r="H454" i="14" s="1"/>
  <c r="I454" i="14" s="1"/>
  <c r="K454" i="14" s="1"/>
  <c r="M454" i="14" s="1"/>
  <c r="N454" i="14" s="1"/>
  <c r="O454" i="14" s="1"/>
  <c r="P453" i="14"/>
  <c r="D455" i="14"/>
  <c r="F455" i="14"/>
  <c r="E455" i="14"/>
  <c r="A457" i="14"/>
  <c r="B456" i="14"/>
  <c r="L456" i="14"/>
  <c r="G455" i="14" l="1"/>
  <c r="H455" i="14" s="1"/>
  <c r="I455" i="14" s="1"/>
  <c r="K455" i="14" s="1"/>
  <c r="M455" i="14" s="1"/>
  <c r="N455" i="14" s="1"/>
  <c r="O455" i="14" s="1"/>
  <c r="P454" i="14"/>
  <c r="D456" i="14"/>
  <c r="F456" i="14"/>
  <c r="E456" i="14"/>
  <c r="A458" i="14"/>
  <c r="B457" i="14"/>
  <c r="L457" i="14"/>
  <c r="G456" i="14" l="1"/>
  <c r="H456" i="14" s="1"/>
  <c r="I456" i="14" s="1"/>
  <c r="K456" i="14" s="1"/>
  <c r="M456" i="14" s="1"/>
  <c r="N456" i="14" s="1"/>
  <c r="O456" i="14" s="1"/>
  <c r="P455" i="14"/>
  <c r="D457" i="14"/>
  <c r="F457" i="14"/>
  <c r="E457" i="14"/>
  <c r="A459" i="14"/>
  <c r="B458" i="14"/>
  <c r="L458" i="14"/>
  <c r="G457" i="14" l="1"/>
  <c r="H457" i="14" s="1"/>
  <c r="I457" i="14" s="1"/>
  <c r="K457" i="14" s="1"/>
  <c r="M457" i="14" s="1"/>
  <c r="N457" i="14" s="1"/>
  <c r="O457" i="14" s="1"/>
  <c r="P457" i="14" s="1"/>
  <c r="P456" i="14"/>
  <c r="A460" i="14"/>
  <c r="B459" i="14"/>
  <c r="L459" i="14"/>
  <c r="D458" i="14"/>
  <c r="F458" i="14"/>
  <c r="E458" i="14"/>
  <c r="G458" i="14" l="1"/>
  <c r="H458" i="14" s="1"/>
  <c r="I458" i="14" s="1"/>
  <c r="K458" i="14" s="1"/>
  <c r="M458" i="14" s="1"/>
  <c r="N458" i="14" s="1"/>
  <c r="O458" i="14" s="1"/>
  <c r="D459" i="14"/>
  <c r="F459" i="14"/>
  <c r="E459" i="14"/>
  <c r="A461" i="14"/>
  <c r="B460" i="14"/>
  <c r="L460" i="14"/>
  <c r="G459" i="14" l="1"/>
  <c r="H459" i="14" s="1"/>
  <c r="I459" i="14" s="1"/>
  <c r="K459" i="14" s="1"/>
  <c r="M459" i="14" s="1"/>
  <c r="N459" i="14" s="1"/>
  <c r="O459" i="14" s="1"/>
  <c r="P459" i="14" s="1"/>
  <c r="P458" i="14"/>
  <c r="A462" i="14"/>
  <c r="B461" i="14"/>
  <c r="L461" i="14"/>
  <c r="D460" i="14"/>
  <c r="E460" i="14"/>
  <c r="F460" i="14"/>
  <c r="G460" i="14" l="1"/>
  <c r="H460" i="14" s="1"/>
  <c r="I460" i="14" s="1"/>
  <c r="K460" i="14" s="1"/>
  <c r="M460" i="14" s="1"/>
  <c r="N460" i="14" s="1"/>
  <c r="O460" i="14" s="1"/>
  <c r="P460" i="14" s="1"/>
  <c r="D461" i="14"/>
  <c r="F461" i="14"/>
  <c r="E461" i="14"/>
  <c r="A463" i="14"/>
  <c r="B462" i="14"/>
  <c r="L462" i="14"/>
  <c r="G461" i="14" l="1"/>
  <c r="H461" i="14" s="1"/>
  <c r="I461" i="14" s="1"/>
  <c r="K461" i="14" s="1"/>
  <c r="M461" i="14" s="1"/>
  <c r="N461" i="14" s="1"/>
  <c r="O461" i="14" s="1"/>
  <c r="P461" i="14" s="1"/>
  <c r="D462" i="14"/>
  <c r="E462" i="14"/>
  <c r="F462" i="14"/>
  <c r="A464" i="14"/>
  <c r="B463" i="14"/>
  <c r="L463" i="14"/>
  <c r="A465" i="14" l="1"/>
  <c r="B464" i="14"/>
  <c r="L464" i="14"/>
  <c r="G462" i="14"/>
  <c r="H462" i="14" s="1"/>
  <c r="I462" i="14" s="1"/>
  <c r="K462" i="14" s="1"/>
  <c r="M462" i="14" s="1"/>
  <c r="D463" i="14"/>
  <c r="E463" i="14"/>
  <c r="F463" i="14"/>
  <c r="N462" i="14" l="1"/>
  <c r="O462" i="14" s="1"/>
  <c r="P462" i="14" s="1"/>
  <c r="G463" i="14"/>
  <c r="H463" i="14" s="1"/>
  <c r="I463" i="14" s="1"/>
  <c r="K463" i="14" s="1"/>
  <c r="M463" i="14" s="1"/>
  <c r="D464" i="14"/>
  <c r="F464" i="14"/>
  <c r="E464" i="14"/>
  <c r="A466" i="14"/>
  <c r="B465" i="14"/>
  <c r="L465" i="14"/>
  <c r="G464" i="14" l="1"/>
  <c r="H464" i="14" s="1"/>
  <c r="I464" i="14" s="1"/>
  <c r="K464" i="14" s="1"/>
  <c r="M464" i="14" s="1"/>
  <c r="N464" i="14" s="1"/>
  <c r="O464" i="14" s="1"/>
  <c r="P464" i="14" s="1"/>
  <c r="D465" i="14"/>
  <c r="F465" i="14"/>
  <c r="E465" i="14"/>
  <c r="A467" i="14"/>
  <c r="B466" i="14"/>
  <c r="L466" i="14"/>
  <c r="N463" i="14"/>
  <c r="O463" i="14" s="1"/>
  <c r="P463" i="14" s="1"/>
  <c r="G465" i="14" l="1"/>
  <c r="H465" i="14" s="1"/>
  <c r="I465" i="14" s="1"/>
  <c r="K465" i="14" s="1"/>
  <c r="M465" i="14" s="1"/>
  <c r="A468" i="14"/>
  <c r="B467" i="14"/>
  <c r="L467" i="14"/>
  <c r="D466" i="14"/>
  <c r="F466" i="14"/>
  <c r="E466" i="14"/>
  <c r="N465" i="14" l="1"/>
  <c r="O465" i="14" s="1"/>
  <c r="P465" i="14" s="1"/>
  <c r="D467" i="14"/>
  <c r="E467" i="14"/>
  <c r="F467" i="14"/>
  <c r="G466" i="14"/>
  <c r="H466" i="14" s="1"/>
  <c r="I466" i="14" s="1"/>
  <c r="K466" i="14" s="1"/>
  <c r="M466" i="14" s="1"/>
  <c r="A469" i="14"/>
  <c r="B468" i="14"/>
  <c r="L468" i="14"/>
  <c r="G467" i="14" l="1"/>
  <c r="H467" i="14" s="1"/>
  <c r="I467" i="14" s="1"/>
  <c r="K467" i="14" s="1"/>
  <c r="M467" i="14" s="1"/>
  <c r="N467" i="14" s="1"/>
  <c r="O467" i="14" s="1"/>
  <c r="P467" i="14" s="1"/>
  <c r="D468" i="14"/>
  <c r="F468" i="14"/>
  <c r="E468" i="14"/>
  <c r="A470" i="14"/>
  <c r="B469" i="14"/>
  <c r="L469" i="14"/>
  <c r="N466" i="14"/>
  <c r="O466" i="14" s="1"/>
  <c r="P466" i="14" s="1"/>
  <c r="G468" i="14" l="1"/>
  <c r="H468" i="14" s="1"/>
  <c r="I468" i="14" s="1"/>
  <c r="K468" i="14" s="1"/>
  <c r="M468" i="14" s="1"/>
  <c r="N468" i="14" s="1"/>
  <c r="O468" i="14" s="1"/>
  <c r="P468" i="14" s="1"/>
  <c r="A471" i="14"/>
  <c r="B470" i="14"/>
  <c r="L470" i="14"/>
  <c r="D469" i="14"/>
  <c r="F469" i="14"/>
  <c r="E469" i="14"/>
  <c r="G469" i="14" l="1"/>
  <c r="H469" i="14" s="1"/>
  <c r="I469" i="14" s="1"/>
  <c r="K469" i="14" s="1"/>
  <c r="M469" i="14" s="1"/>
  <c r="N469" i="14" s="1"/>
  <c r="O469" i="14" s="1"/>
  <c r="D470" i="14"/>
  <c r="E470" i="14"/>
  <c r="F470" i="14"/>
  <c r="A472" i="14"/>
  <c r="B471" i="14"/>
  <c r="L471" i="14"/>
  <c r="P469" i="14" l="1"/>
  <c r="D471" i="14"/>
  <c r="F471" i="14"/>
  <c r="E471" i="14"/>
  <c r="A473" i="14"/>
  <c r="B472" i="14"/>
  <c r="L472" i="14"/>
  <c r="G470" i="14"/>
  <c r="G471" i="14" l="1"/>
  <c r="H471" i="14" s="1"/>
  <c r="I471" i="14" s="1"/>
  <c r="K471" i="14" s="1"/>
  <c r="M471" i="14" s="1"/>
  <c r="N471" i="14" s="1"/>
  <c r="O471" i="14" s="1"/>
  <c r="P471" i="14" s="1"/>
  <c r="A474" i="14"/>
  <c r="B473" i="14"/>
  <c r="L473" i="14"/>
  <c r="H470" i="14"/>
  <c r="I470" i="14" s="1"/>
  <c r="K470" i="14" s="1"/>
  <c r="M470" i="14" s="1"/>
  <c r="D472" i="14"/>
  <c r="F472" i="14"/>
  <c r="E472" i="14"/>
  <c r="N470" i="14" l="1"/>
  <c r="O470" i="14" s="1"/>
  <c r="P470" i="14" s="1"/>
  <c r="D473" i="14"/>
  <c r="F473" i="14"/>
  <c r="E473" i="14"/>
  <c r="G472" i="14"/>
  <c r="H472" i="14" s="1"/>
  <c r="I472" i="14" s="1"/>
  <c r="K472" i="14" s="1"/>
  <c r="M472" i="14" s="1"/>
  <c r="A475" i="14"/>
  <c r="B474" i="14"/>
  <c r="L474" i="14"/>
  <c r="G473" i="14" l="1"/>
  <c r="H473" i="14" s="1"/>
  <c r="I473" i="14" s="1"/>
  <c r="K473" i="14" s="1"/>
  <c r="M473" i="14" s="1"/>
  <c r="N473" i="14" s="1"/>
  <c r="O473" i="14" s="1"/>
  <c r="P473" i="14" s="1"/>
  <c r="N472" i="14"/>
  <c r="O472" i="14" s="1"/>
  <c r="P472" i="14" s="1"/>
  <c r="D474" i="14"/>
  <c r="E474" i="14"/>
  <c r="F474" i="14"/>
  <c r="A476" i="14"/>
  <c r="B475" i="14"/>
  <c r="L475" i="14"/>
  <c r="G474" i="14" l="1"/>
  <c r="H474" i="14" s="1"/>
  <c r="I474" i="14" s="1"/>
  <c r="K474" i="14" s="1"/>
  <c r="M474" i="14" s="1"/>
  <c r="N474" i="14" s="1"/>
  <c r="O474" i="14" s="1"/>
  <c r="P474" i="14" s="1"/>
  <c r="A477" i="14"/>
  <c r="B476" i="14"/>
  <c r="L476" i="14"/>
  <c r="D475" i="14"/>
  <c r="F475" i="14"/>
  <c r="E475" i="14"/>
  <c r="G475" i="14" l="1"/>
  <c r="H475" i="14" s="1"/>
  <c r="I475" i="14" s="1"/>
  <c r="K475" i="14" s="1"/>
  <c r="M475" i="14" s="1"/>
  <c r="N475" i="14" s="1"/>
  <c r="O475" i="14" s="1"/>
  <c r="P475" i="14" s="1"/>
  <c r="D476" i="14"/>
  <c r="E476" i="14"/>
  <c r="F476" i="14"/>
  <c r="A478" i="14"/>
  <c r="B477" i="14"/>
  <c r="L477" i="14"/>
  <c r="D477" i="14" l="1"/>
  <c r="F477" i="14"/>
  <c r="E477" i="14"/>
  <c r="A479" i="14"/>
  <c r="B478" i="14"/>
  <c r="L478" i="14"/>
  <c r="G476" i="14"/>
  <c r="H476" i="14" s="1"/>
  <c r="I476" i="14" s="1"/>
  <c r="K476" i="14" s="1"/>
  <c r="M476" i="14" s="1"/>
  <c r="G477" i="14" l="1"/>
  <c r="H477" i="14" s="1"/>
  <c r="I477" i="14" s="1"/>
  <c r="K477" i="14" s="1"/>
  <c r="M477" i="14" s="1"/>
  <c r="N477" i="14" s="1"/>
  <c r="O477" i="14" s="1"/>
  <c r="P477" i="14" s="1"/>
  <c r="N476" i="14"/>
  <c r="O476" i="14" s="1"/>
  <c r="P476" i="14" s="1"/>
  <c r="D478" i="14"/>
  <c r="E478" i="14"/>
  <c r="F478" i="14"/>
  <c r="A480" i="14"/>
  <c r="B479" i="14"/>
  <c r="L479" i="14"/>
  <c r="D479" i="14" l="1"/>
  <c r="F479" i="14"/>
  <c r="E479" i="14"/>
  <c r="A481" i="14"/>
  <c r="B480" i="14"/>
  <c r="L480" i="14"/>
  <c r="G478" i="14"/>
  <c r="H478" i="14" s="1"/>
  <c r="I478" i="14" s="1"/>
  <c r="K478" i="14" s="1"/>
  <c r="M478" i="14" s="1"/>
  <c r="G479" i="14" l="1"/>
  <c r="H479" i="14" s="1"/>
  <c r="I479" i="14" s="1"/>
  <c r="K479" i="14" s="1"/>
  <c r="M479" i="14" s="1"/>
  <c r="N479" i="14" s="1"/>
  <c r="O479" i="14" s="1"/>
  <c r="P479" i="14" s="1"/>
  <c r="D480" i="14"/>
  <c r="F480" i="14"/>
  <c r="E480" i="14"/>
  <c r="A482" i="14"/>
  <c r="B481" i="14"/>
  <c r="L481" i="14"/>
  <c r="N478" i="14"/>
  <c r="O478" i="14" s="1"/>
  <c r="P478" i="14" s="1"/>
  <c r="G480" i="14" l="1"/>
  <c r="H480" i="14" s="1"/>
  <c r="I480" i="14" s="1"/>
  <c r="K480" i="14" s="1"/>
  <c r="M480" i="14" s="1"/>
  <c r="N480" i="14" s="1"/>
  <c r="O480" i="14" s="1"/>
  <c r="P480" i="14" s="1"/>
  <c r="A483" i="14"/>
  <c r="B482" i="14"/>
  <c r="L482" i="14"/>
  <c r="D481" i="14"/>
  <c r="E481" i="14"/>
  <c r="F481" i="14"/>
  <c r="G481" i="14" l="1"/>
  <c r="H481" i="14" s="1"/>
  <c r="I481" i="14" s="1"/>
  <c r="K481" i="14" s="1"/>
  <c r="M481" i="14" s="1"/>
  <c r="N481" i="14" s="1"/>
  <c r="O481" i="14" s="1"/>
  <c r="P481" i="14" s="1"/>
  <c r="D482" i="14"/>
  <c r="F482" i="14"/>
  <c r="E482" i="14"/>
  <c r="A484" i="14"/>
  <c r="B483" i="14"/>
  <c r="L483" i="14"/>
  <c r="G482" i="14" l="1"/>
  <c r="H482" i="14" s="1"/>
  <c r="I482" i="14" s="1"/>
  <c r="K482" i="14" s="1"/>
  <c r="M482" i="14" s="1"/>
  <c r="N482" i="14" s="1"/>
  <c r="O482" i="14" s="1"/>
  <c r="P482" i="14" s="1"/>
  <c r="A485" i="14"/>
  <c r="B484" i="14"/>
  <c r="L484" i="14"/>
  <c r="D483" i="14"/>
  <c r="F483" i="14"/>
  <c r="E483" i="14"/>
  <c r="G483" i="14" l="1"/>
  <c r="H483" i="14" s="1"/>
  <c r="I483" i="14" s="1"/>
  <c r="K483" i="14" s="1"/>
  <c r="M483" i="14" s="1"/>
  <c r="D484" i="14"/>
  <c r="E484" i="14"/>
  <c r="F484" i="14"/>
  <c r="A486" i="14"/>
  <c r="B485" i="14"/>
  <c r="L485" i="14"/>
  <c r="A487" i="14" l="1"/>
  <c r="B486" i="14"/>
  <c r="L486" i="14"/>
  <c r="D485" i="14"/>
  <c r="F485" i="14"/>
  <c r="E485" i="14"/>
  <c r="G484" i="14"/>
  <c r="N483" i="14"/>
  <c r="O483" i="14" s="1"/>
  <c r="P483" i="14" s="1"/>
  <c r="G485" i="14" l="1"/>
  <c r="H485" i="14" s="1"/>
  <c r="I485" i="14" s="1"/>
  <c r="K485" i="14" s="1"/>
  <c r="M485" i="14" s="1"/>
  <c r="N485" i="14" s="1"/>
  <c r="O485" i="14" s="1"/>
  <c r="H484" i="14"/>
  <c r="I484" i="14" s="1"/>
  <c r="K484" i="14" s="1"/>
  <c r="M484" i="14" s="1"/>
  <c r="N484" i="14" s="1"/>
  <c r="O484" i="14" s="1"/>
  <c r="P484" i="14" s="1"/>
  <c r="D486" i="14"/>
  <c r="E486" i="14"/>
  <c r="F486" i="14"/>
  <c r="A488" i="14"/>
  <c r="B487" i="14"/>
  <c r="L487" i="14"/>
  <c r="P485" i="14" l="1"/>
  <c r="A489" i="14"/>
  <c r="B488" i="14"/>
  <c r="L488" i="14"/>
  <c r="G486" i="14"/>
  <c r="H486" i="14" s="1"/>
  <c r="I486" i="14" s="1"/>
  <c r="K486" i="14" s="1"/>
  <c r="M486" i="14" s="1"/>
  <c r="D487" i="14"/>
  <c r="F487" i="14"/>
  <c r="E487" i="14"/>
  <c r="G487" i="14" l="1"/>
  <c r="H487" i="14" s="1"/>
  <c r="I487" i="14" s="1"/>
  <c r="K487" i="14" s="1"/>
  <c r="M487" i="14" s="1"/>
  <c r="N487" i="14" s="1"/>
  <c r="O487" i="14" s="1"/>
  <c r="P487" i="14" s="1"/>
  <c r="D488" i="14"/>
  <c r="F488" i="14"/>
  <c r="E488" i="14"/>
  <c r="N486" i="14"/>
  <c r="O486" i="14" s="1"/>
  <c r="P486" i="14" s="1"/>
  <c r="A490" i="14"/>
  <c r="B489" i="14"/>
  <c r="L489" i="14"/>
  <c r="G488" i="14" l="1"/>
  <c r="H488" i="14" s="1"/>
  <c r="I488" i="14" s="1"/>
  <c r="K488" i="14" s="1"/>
  <c r="M488" i="14" s="1"/>
  <c r="N488" i="14" s="1"/>
  <c r="O488" i="14" s="1"/>
  <c r="A491" i="14"/>
  <c r="B490" i="14"/>
  <c r="L490" i="14"/>
  <c r="D489" i="14"/>
  <c r="F489" i="14"/>
  <c r="E489" i="14"/>
  <c r="P488" i="14" l="1"/>
  <c r="D490" i="14"/>
  <c r="F490" i="14"/>
  <c r="E490" i="14"/>
  <c r="A492" i="14"/>
  <c r="B491" i="14"/>
  <c r="L491" i="14"/>
  <c r="G489" i="14"/>
  <c r="H489" i="14" s="1"/>
  <c r="I489" i="14" s="1"/>
  <c r="K489" i="14" s="1"/>
  <c r="M489" i="14" s="1"/>
  <c r="G490" i="14" l="1"/>
  <c r="H490" i="14" s="1"/>
  <c r="I490" i="14" s="1"/>
  <c r="K490" i="14" s="1"/>
  <c r="M490" i="14" s="1"/>
  <c r="N490" i="14" s="1"/>
  <c r="O490" i="14" s="1"/>
  <c r="P490" i="14" s="1"/>
  <c r="N489" i="14"/>
  <c r="O489" i="14" s="1"/>
  <c r="P489" i="14" s="1"/>
  <c r="D491" i="14"/>
  <c r="E491" i="14"/>
  <c r="F491" i="14"/>
  <c r="A493" i="14"/>
  <c r="B492" i="14"/>
  <c r="L492" i="14"/>
  <c r="G491" i="14" l="1"/>
  <c r="H491" i="14" s="1"/>
  <c r="I491" i="14" s="1"/>
  <c r="K491" i="14" s="1"/>
  <c r="M491" i="14" s="1"/>
  <c r="D492" i="14"/>
  <c r="F492" i="14"/>
  <c r="E492" i="14"/>
  <c r="A494" i="14"/>
  <c r="B493" i="14"/>
  <c r="L493" i="14"/>
  <c r="N491" i="14" l="1"/>
  <c r="O491" i="14" s="1"/>
  <c r="P491" i="14" s="1"/>
  <c r="G492" i="14"/>
  <c r="H492" i="14" s="1"/>
  <c r="I492" i="14" s="1"/>
  <c r="K492" i="14" s="1"/>
  <c r="M492" i="14" s="1"/>
  <c r="A495" i="14"/>
  <c r="B494" i="14"/>
  <c r="L494" i="14"/>
  <c r="D493" i="14"/>
  <c r="F493" i="14"/>
  <c r="E493" i="14"/>
  <c r="N492" i="14" l="1"/>
  <c r="O492" i="14" s="1"/>
  <c r="P492" i="14" s="1"/>
  <c r="G493" i="14"/>
  <c r="H493" i="14" s="1"/>
  <c r="I493" i="14" s="1"/>
  <c r="K493" i="14" s="1"/>
  <c r="M493" i="14" s="1"/>
  <c r="N493" i="14" s="1"/>
  <c r="O493" i="14" s="1"/>
  <c r="P493" i="14" s="1"/>
  <c r="D494" i="14"/>
  <c r="E494" i="14"/>
  <c r="F494" i="14"/>
  <c r="A496" i="14"/>
  <c r="B495" i="14"/>
  <c r="L495" i="14"/>
  <c r="G494" i="14" l="1"/>
  <c r="H494" i="14" s="1"/>
  <c r="I494" i="14" s="1"/>
  <c r="K494" i="14" s="1"/>
  <c r="M494" i="14" s="1"/>
  <c r="N494" i="14" s="1"/>
  <c r="O494" i="14" s="1"/>
  <c r="P494" i="14" s="1"/>
  <c r="A497" i="14"/>
  <c r="B496" i="14"/>
  <c r="L496" i="14"/>
  <c r="D495" i="14"/>
  <c r="E495" i="14"/>
  <c r="F495" i="14"/>
  <c r="G495" i="14" l="1"/>
  <c r="H495" i="14" s="1"/>
  <c r="I495" i="14" s="1"/>
  <c r="K495" i="14" s="1"/>
  <c r="M495" i="14" s="1"/>
  <c r="N495" i="14" s="1"/>
  <c r="O495" i="14" s="1"/>
  <c r="D496" i="14"/>
  <c r="F496" i="14"/>
  <c r="E496" i="14"/>
  <c r="A498" i="14"/>
  <c r="B497" i="14"/>
  <c r="L497" i="14"/>
  <c r="G496" i="14" l="1"/>
  <c r="H496" i="14" s="1"/>
  <c r="I496" i="14" s="1"/>
  <c r="K496" i="14" s="1"/>
  <c r="M496" i="14" s="1"/>
  <c r="N496" i="14" s="1"/>
  <c r="O496" i="14" s="1"/>
  <c r="P495" i="14"/>
  <c r="D497" i="14"/>
  <c r="F497" i="14"/>
  <c r="E497" i="14"/>
  <c r="A499" i="14"/>
  <c r="B498" i="14"/>
  <c r="L498" i="14"/>
  <c r="G497" i="14" l="1"/>
  <c r="H497" i="14" s="1"/>
  <c r="I497" i="14" s="1"/>
  <c r="K497" i="14" s="1"/>
  <c r="M497" i="14" s="1"/>
  <c r="N497" i="14" s="1"/>
  <c r="O497" i="14" s="1"/>
  <c r="P497" i="14" s="1"/>
  <c r="P496" i="14"/>
  <c r="D498" i="14"/>
  <c r="F498" i="14"/>
  <c r="E498" i="14"/>
  <c r="A500" i="14"/>
  <c r="B499" i="14"/>
  <c r="L499" i="14"/>
  <c r="G498" i="14" l="1"/>
  <c r="H498" i="14" s="1"/>
  <c r="I498" i="14" s="1"/>
  <c r="K498" i="14" s="1"/>
  <c r="M498" i="14" s="1"/>
  <c r="N498" i="14" s="1"/>
  <c r="O498" i="14" s="1"/>
  <c r="P498" i="14" s="1"/>
  <c r="A501" i="14"/>
  <c r="B500" i="14"/>
  <c r="L500" i="14"/>
  <c r="D499" i="14"/>
  <c r="E499" i="14"/>
  <c r="F499" i="14"/>
  <c r="G499" i="14" l="1"/>
  <c r="H499" i="14" s="1"/>
  <c r="I499" i="14" s="1"/>
  <c r="K499" i="14" s="1"/>
  <c r="M499" i="14" s="1"/>
  <c r="N499" i="14" s="1"/>
  <c r="O499" i="14" s="1"/>
  <c r="P499" i="14" s="1"/>
  <c r="D500" i="14"/>
  <c r="E500" i="14"/>
  <c r="F500" i="14"/>
  <c r="A502" i="14"/>
  <c r="B501" i="14"/>
  <c r="L501" i="14"/>
  <c r="G500" i="14" l="1"/>
  <c r="H500" i="14" s="1"/>
  <c r="I500" i="14" s="1"/>
  <c r="K500" i="14" s="1"/>
  <c r="M500" i="14" s="1"/>
  <c r="N500" i="14" s="1"/>
  <c r="O500" i="14" s="1"/>
  <c r="P500" i="14" s="1"/>
  <c r="A503" i="14"/>
  <c r="B502" i="14"/>
  <c r="L502" i="14"/>
  <c r="D501" i="14"/>
  <c r="F501" i="14"/>
  <c r="E501" i="14"/>
  <c r="G501" i="14" l="1"/>
  <c r="H501" i="14" s="1"/>
  <c r="I501" i="14" s="1"/>
  <c r="K501" i="14" s="1"/>
  <c r="M501" i="14" s="1"/>
  <c r="N501" i="14" s="1"/>
  <c r="O501" i="14" s="1"/>
  <c r="P501" i="14" s="1"/>
  <c r="D502" i="14"/>
  <c r="E502" i="14"/>
  <c r="F502" i="14"/>
  <c r="A504" i="14"/>
  <c r="B503" i="14"/>
  <c r="L503" i="14"/>
  <c r="G502" i="14" l="1"/>
  <c r="H502" i="14" s="1"/>
  <c r="I502" i="14" s="1"/>
  <c r="K502" i="14" s="1"/>
  <c r="M502" i="14" s="1"/>
  <c r="N502" i="14" s="1"/>
  <c r="O502" i="14" s="1"/>
  <c r="D503" i="14"/>
  <c r="F503" i="14"/>
  <c r="E503" i="14"/>
  <c r="A505" i="14"/>
  <c r="B504" i="14"/>
  <c r="L504" i="14"/>
  <c r="P502" i="14" l="1"/>
  <c r="G503" i="14"/>
  <c r="H503" i="14" s="1"/>
  <c r="I503" i="14" s="1"/>
  <c r="K503" i="14" s="1"/>
  <c r="M503" i="14" s="1"/>
  <c r="N503" i="14" s="1"/>
  <c r="O503" i="14" s="1"/>
  <c r="P503" i="14" s="1"/>
  <c r="D504" i="14"/>
  <c r="F504" i="14"/>
  <c r="E504" i="14"/>
  <c r="A506" i="14"/>
  <c r="B505" i="14"/>
  <c r="L505" i="14"/>
  <c r="G504" i="14" l="1"/>
  <c r="H504" i="14" s="1"/>
  <c r="I504" i="14" s="1"/>
  <c r="K504" i="14" s="1"/>
  <c r="M504" i="14" s="1"/>
  <c r="N504" i="14" s="1"/>
  <c r="O504" i="14" s="1"/>
  <c r="P504" i="14" s="1"/>
  <c r="D505" i="14"/>
  <c r="F505" i="14"/>
  <c r="E505" i="14"/>
  <c r="A507" i="14"/>
  <c r="B506" i="14"/>
  <c r="L506" i="14"/>
  <c r="G505" i="14" l="1"/>
  <c r="H505" i="14" s="1"/>
  <c r="I505" i="14" s="1"/>
  <c r="K505" i="14" s="1"/>
  <c r="M505" i="14" s="1"/>
  <c r="N505" i="14" s="1"/>
  <c r="O505" i="14" s="1"/>
  <c r="P505" i="14" s="1"/>
  <c r="A508" i="14"/>
  <c r="B507" i="14"/>
  <c r="L507" i="14"/>
  <c r="D506" i="14"/>
  <c r="F506" i="14"/>
  <c r="E506" i="14"/>
  <c r="G506" i="14" l="1"/>
  <c r="H506" i="14" s="1"/>
  <c r="I506" i="14" s="1"/>
  <c r="K506" i="14" s="1"/>
  <c r="M506" i="14" s="1"/>
  <c r="N506" i="14" s="1"/>
  <c r="O506" i="14" s="1"/>
  <c r="P506" i="14" s="1"/>
  <c r="D507" i="14"/>
  <c r="F507" i="14"/>
  <c r="E507" i="14"/>
  <c r="A509" i="14"/>
  <c r="B508" i="14"/>
  <c r="L508" i="14"/>
  <c r="G507" i="14" l="1"/>
  <c r="H507" i="14" s="1"/>
  <c r="I507" i="14" s="1"/>
  <c r="K507" i="14" s="1"/>
  <c r="M507" i="14" s="1"/>
  <c r="N507" i="14" s="1"/>
  <c r="O507" i="14" s="1"/>
  <c r="P507" i="14" s="1"/>
  <c r="A510" i="14"/>
  <c r="B509" i="14"/>
  <c r="L509" i="14"/>
  <c r="D508" i="14"/>
  <c r="F508" i="14"/>
  <c r="E508" i="14"/>
  <c r="D509" i="14" l="1"/>
  <c r="F509" i="14"/>
  <c r="E509" i="14"/>
  <c r="G508" i="14"/>
  <c r="H508" i="14" s="1"/>
  <c r="I508" i="14" s="1"/>
  <c r="K508" i="14" s="1"/>
  <c r="M508" i="14" s="1"/>
  <c r="N508" i="14" s="1"/>
  <c r="O508" i="14" s="1"/>
  <c r="P508" i="14" s="1"/>
  <c r="A511" i="14"/>
  <c r="B510" i="14"/>
  <c r="L510" i="14"/>
  <c r="G509" i="14" l="1"/>
  <c r="H509" i="14" s="1"/>
  <c r="I509" i="14" s="1"/>
  <c r="K509" i="14" s="1"/>
  <c r="M509" i="14" s="1"/>
  <c r="N509" i="14" s="1"/>
  <c r="O509" i="14" s="1"/>
  <c r="P509" i="14" s="1"/>
  <c r="D510" i="14"/>
  <c r="F510" i="14"/>
  <c r="E510" i="14"/>
  <c r="A512" i="14"/>
  <c r="B511" i="14"/>
  <c r="L511" i="14"/>
  <c r="G510" i="14" l="1"/>
  <c r="H510" i="14" s="1"/>
  <c r="I510" i="14" s="1"/>
  <c r="K510" i="14" s="1"/>
  <c r="M510" i="14" s="1"/>
  <c r="N510" i="14" s="1"/>
  <c r="O510" i="14" s="1"/>
  <c r="P510" i="14" s="1"/>
  <c r="A513" i="14"/>
  <c r="B512" i="14"/>
  <c r="L512" i="14"/>
  <c r="D511" i="14"/>
  <c r="F511" i="14"/>
  <c r="E511" i="14"/>
  <c r="D512" i="14" l="1"/>
  <c r="E512" i="14"/>
  <c r="F512" i="14"/>
  <c r="G511" i="14"/>
  <c r="H511" i="14" s="1"/>
  <c r="I511" i="14" s="1"/>
  <c r="K511" i="14" s="1"/>
  <c r="M511" i="14" s="1"/>
  <c r="A514" i="14"/>
  <c r="B513" i="14"/>
  <c r="L513" i="14"/>
  <c r="G512" i="14" l="1"/>
  <c r="H512" i="14" s="1"/>
  <c r="I512" i="14" s="1"/>
  <c r="K512" i="14" s="1"/>
  <c r="M512" i="14" s="1"/>
  <c r="N512" i="14" s="1"/>
  <c r="O512" i="14" s="1"/>
  <c r="P512" i="14" s="1"/>
  <c r="D513" i="14"/>
  <c r="E513" i="14"/>
  <c r="F513" i="14"/>
  <c r="A515" i="14"/>
  <c r="B514" i="14"/>
  <c r="L514" i="14"/>
  <c r="N511" i="14"/>
  <c r="O511" i="14" s="1"/>
  <c r="P511" i="14" s="1"/>
  <c r="D514" i="14" l="1"/>
  <c r="E514" i="14"/>
  <c r="F514" i="14"/>
  <c r="A516" i="14"/>
  <c r="B515" i="14"/>
  <c r="L515" i="14"/>
  <c r="G513" i="14"/>
  <c r="H513" i="14" s="1"/>
  <c r="I513" i="14" s="1"/>
  <c r="K513" i="14" s="1"/>
  <c r="M513" i="14" s="1"/>
  <c r="N513" i="14" s="1"/>
  <c r="O513" i="14" s="1"/>
  <c r="P513" i="14" s="1"/>
  <c r="D515" i="14" l="1"/>
  <c r="F515" i="14"/>
  <c r="E515" i="14"/>
  <c r="A517" i="14"/>
  <c r="B516" i="14"/>
  <c r="L516" i="14"/>
  <c r="G514" i="14"/>
  <c r="H514" i="14" s="1"/>
  <c r="I514" i="14" s="1"/>
  <c r="K514" i="14" s="1"/>
  <c r="M514" i="14" s="1"/>
  <c r="G515" i="14" l="1"/>
  <c r="H515" i="14" s="1"/>
  <c r="I515" i="14" s="1"/>
  <c r="K515" i="14" s="1"/>
  <c r="M515" i="14" s="1"/>
  <c r="N515" i="14" s="1"/>
  <c r="O515" i="14" s="1"/>
  <c r="P515" i="14" s="1"/>
  <c r="N514" i="14"/>
  <c r="O514" i="14" s="1"/>
  <c r="P514" i="14" s="1"/>
  <c r="D516" i="14"/>
  <c r="F516" i="14"/>
  <c r="E516" i="14"/>
  <c r="A518" i="14"/>
  <c r="B517" i="14"/>
  <c r="L517" i="14"/>
  <c r="D517" i="14" l="1"/>
  <c r="F517" i="14"/>
  <c r="E517" i="14"/>
  <c r="A519" i="14"/>
  <c r="B518" i="14"/>
  <c r="L518" i="14"/>
  <c r="G516" i="14"/>
  <c r="H516" i="14" s="1"/>
  <c r="I516" i="14" s="1"/>
  <c r="K516" i="14" s="1"/>
  <c r="M516" i="14" s="1"/>
  <c r="N516" i="14" s="1"/>
  <c r="O516" i="14" s="1"/>
  <c r="P516" i="14" s="1"/>
  <c r="G517" i="14" l="1"/>
  <c r="H517" i="14" s="1"/>
  <c r="I517" i="14" s="1"/>
  <c r="K517" i="14" s="1"/>
  <c r="M517" i="14" s="1"/>
  <c r="N517" i="14" s="1"/>
  <c r="O517" i="14" s="1"/>
  <c r="P517" i="14" s="1"/>
  <c r="D518" i="14"/>
  <c r="F518" i="14"/>
  <c r="E518" i="14"/>
  <c r="A520" i="14"/>
  <c r="B519" i="14"/>
  <c r="L519" i="14"/>
  <c r="G518" i="14" l="1"/>
  <c r="H518" i="14" s="1"/>
  <c r="I518" i="14" s="1"/>
  <c r="K518" i="14" s="1"/>
  <c r="M518" i="14" s="1"/>
  <c r="N518" i="14" s="1"/>
  <c r="O518" i="14" s="1"/>
  <c r="P518" i="14" s="1"/>
  <c r="D519" i="14"/>
  <c r="F519" i="14"/>
  <c r="E519" i="14"/>
  <c r="A521" i="14"/>
  <c r="B520" i="14"/>
  <c r="L520" i="14"/>
  <c r="G519" i="14" l="1"/>
  <c r="H519" i="14" s="1"/>
  <c r="I519" i="14" s="1"/>
  <c r="K519" i="14" s="1"/>
  <c r="M519" i="14" s="1"/>
  <c r="N519" i="14" s="1"/>
  <c r="O519" i="14" s="1"/>
  <c r="P519" i="14" s="1"/>
  <c r="A522" i="14"/>
  <c r="B521" i="14"/>
  <c r="L521" i="14"/>
  <c r="D520" i="14"/>
  <c r="F520" i="14"/>
  <c r="E520" i="14"/>
  <c r="D521" i="14" l="1"/>
  <c r="F521" i="14"/>
  <c r="E521" i="14"/>
  <c r="G520" i="14"/>
  <c r="H520" i="14" s="1"/>
  <c r="I520" i="14" s="1"/>
  <c r="K520" i="14" s="1"/>
  <c r="M520" i="14" s="1"/>
  <c r="A523" i="14"/>
  <c r="B522" i="14"/>
  <c r="L522" i="14"/>
  <c r="G521" i="14" l="1"/>
  <c r="H521" i="14" s="1"/>
  <c r="I521" i="14" s="1"/>
  <c r="K521" i="14" s="1"/>
  <c r="M521" i="14" s="1"/>
  <c r="N521" i="14" s="1"/>
  <c r="O521" i="14" s="1"/>
  <c r="P521" i="14" s="1"/>
  <c r="D522" i="14"/>
  <c r="F522" i="14"/>
  <c r="E522" i="14"/>
  <c r="N520" i="14"/>
  <c r="O520" i="14" s="1"/>
  <c r="P520" i="14" s="1"/>
  <c r="A524" i="14"/>
  <c r="B523" i="14"/>
  <c r="L523" i="14"/>
  <c r="G522" i="14" l="1"/>
  <c r="H522" i="14" s="1"/>
  <c r="I522" i="14" s="1"/>
  <c r="K522" i="14" s="1"/>
  <c r="M522" i="14" s="1"/>
  <c r="N522" i="14" s="1"/>
  <c r="O522" i="14" s="1"/>
  <c r="P522" i="14" s="1"/>
  <c r="A525" i="14"/>
  <c r="B524" i="14"/>
  <c r="L524" i="14"/>
  <c r="D523" i="14"/>
  <c r="F523" i="14"/>
  <c r="E523" i="14"/>
  <c r="G523" i="14" l="1"/>
  <c r="H523" i="14" s="1"/>
  <c r="I523" i="14" s="1"/>
  <c r="K523" i="14" s="1"/>
  <c r="M523" i="14" s="1"/>
  <c r="N523" i="14" s="1"/>
  <c r="O523" i="14" s="1"/>
  <c r="P523" i="14" s="1"/>
  <c r="D524" i="14"/>
  <c r="F524" i="14"/>
  <c r="E524" i="14"/>
  <c r="A526" i="14"/>
  <c r="B525" i="14"/>
  <c r="L525" i="14"/>
  <c r="G524" i="14" l="1"/>
  <c r="H524" i="14" s="1"/>
  <c r="I524" i="14" s="1"/>
  <c r="K524" i="14" s="1"/>
  <c r="M524" i="14" s="1"/>
  <c r="D525" i="14"/>
  <c r="F525" i="14"/>
  <c r="E525" i="14"/>
  <c r="A527" i="14"/>
  <c r="B526" i="14"/>
  <c r="L526" i="14"/>
  <c r="G525" i="14" l="1"/>
  <c r="H525" i="14" s="1"/>
  <c r="I525" i="14" s="1"/>
  <c r="K525" i="14" s="1"/>
  <c r="M525" i="14" s="1"/>
  <c r="N525" i="14" s="1"/>
  <c r="O525" i="14" s="1"/>
  <c r="P525" i="14" s="1"/>
  <c r="N524" i="14"/>
  <c r="O524" i="14" s="1"/>
  <c r="P524" i="14" s="1"/>
  <c r="D526" i="14"/>
  <c r="F526" i="14"/>
  <c r="E526" i="14"/>
  <c r="A528" i="14"/>
  <c r="B527" i="14"/>
  <c r="L527" i="14"/>
  <c r="G526" i="14" l="1"/>
  <c r="H526" i="14" s="1"/>
  <c r="I526" i="14" s="1"/>
  <c r="K526" i="14" s="1"/>
  <c r="M526" i="14" s="1"/>
  <c r="N526" i="14" s="1"/>
  <c r="O526" i="14" s="1"/>
  <c r="P526" i="14" s="1"/>
  <c r="A529" i="14"/>
  <c r="B528" i="14"/>
  <c r="L528" i="14"/>
  <c r="D527" i="14"/>
  <c r="E527" i="14"/>
  <c r="F527" i="14"/>
  <c r="G527" i="14" l="1"/>
  <c r="H527" i="14" s="1"/>
  <c r="I527" i="14" s="1"/>
  <c r="K527" i="14" s="1"/>
  <c r="M527" i="14" s="1"/>
  <c r="N527" i="14" s="1"/>
  <c r="O527" i="14" s="1"/>
  <c r="P527" i="14" s="1"/>
  <c r="D528" i="14"/>
  <c r="F528" i="14"/>
  <c r="E528" i="14"/>
  <c r="A530" i="14"/>
  <c r="B529" i="14"/>
  <c r="L529" i="14"/>
  <c r="G528" i="14" l="1"/>
  <c r="H528" i="14" s="1"/>
  <c r="I528" i="14" s="1"/>
  <c r="K528" i="14" s="1"/>
  <c r="M528" i="14" s="1"/>
  <c r="N528" i="14" s="1"/>
  <c r="O528" i="14" s="1"/>
  <c r="P528" i="14" s="1"/>
  <c r="D529" i="14"/>
  <c r="F529" i="14"/>
  <c r="E529" i="14"/>
  <c r="A531" i="14"/>
  <c r="B530" i="14"/>
  <c r="L530" i="14"/>
  <c r="G529" i="14" l="1"/>
  <c r="H529" i="14" s="1"/>
  <c r="I529" i="14" s="1"/>
  <c r="K529" i="14" s="1"/>
  <c r="M529" i="14" s="1"/>
  <c r="N529" i="14" s="1"/>
  <c r="O529" i="14" s="1"/>
  <c r="P529" i="14" s="1"/>
  <c r="A532" i="14"/>
  <c r="B531" i="14"/>
  <c r="L531" i="14"/>
  <c r="D530" i="14"/>
  <c r="F530" i="14"/>
  <c r="E530" i="14"/>
  <c r="G530" i="14" l="1"/>
  <c r="H530" i="14" s="1"/>
  <c r="I530" i="14" s="1"/>
  <c r="K530" i="14" s="1"/>
  <c r="M530" i="14" s="1"/>
  <c r="D531" i="14"/>
  <c r="E531" i="14"/>
  <c r="F531" i="14"/>
  <c r="A533" i="14"/>
  <c r="B532" i="14"/>
  <c r="L532" i="14"/>
  <c r="N530" i="14" l="1"/>
  <c r="O530" i="14" s="1"/>
  <c r="P530" i="14" s="1"/>
  <c r="G531" i="14"/>
  <c r="H531" i="14" s="1"/>
  <c r="I531" i="14" s="1"/>
  <c r="K531" i="14" s="1"/>
  <c r="M531" i="14" s="1"/>
  <c r="N531" i="14" s="1"/>
  <c r="O531" i="14" s="1"/>
  <c r="D532" i="14"/>
  <c r="F532" i="14"/>
  <c r="E532" i="14"/>
  <c r="A534" i="14"/>
  <c r="B533" i="14"/>
  <c r="L533" i="14"/>
  <c r="G532" i="14" l="1"/>
  <c r="H532" i="14" s="1"/>
  <c r="I532" i="14" s="1"/>
  <c r="K532" i="14" s="1"/>
  <c r="M532" i="14" s="1"/>
  <c r="N532" i="14" s="1"/>
  <c r="O532" i="14" s="1"/>
  <c r="P532" i="14" s="1"/>
  <c r="P531" i="14"/>
  <c r="D533" i="14"/>
  <c r="F533" i="14"/>
  <c r="E533" i="14"/>
  <c r="A535" i="14"/>
  <c r="B534" i="14"/>
  <c r="L534" i="14"/>
  <c r="G533" i="14" l="1"/>
  <c r="H533" i="14" s="1"/>
  <c r="I533" i="14" s="1"/>
  <c r="K533" i="14" s="1"/>
  <c r="M533" i="14" s="1"/>
  <c r="N533" i="14" s="1"/>
  <c r="O533" i="14" s="1"/>
  <c r="P533" i="14" s="1"/>
  <c r="A536" i="14"/>
  <c r="B535" i="14"/>
  <c r="L535" i="14"/>
  <c r="D534" i="14"/>
  <c r="E534" i="14"/>
  <c r="F534" i="14"/>
  <c r="G534" i="14" l="1"/>
  <c r="H534" i="14" s="1"/>
  <c r="I534" i="14" s="1"/>
  <c r="K534" i="14" s="1"/>
  <c r="M534" i="14" s="1"/>
  <c r="N534" i="14" s="1"/>
  <c r="O534" i="14" s="1"/>
  <c r="D535" i="14"/>
  <c r="F535" i="14"/>
  <c r="E535" i="14"/>
  <c r="A537" i="14"/>
  <c r="B536" i="14"/>
  <c r="L536" i="14"/>
  <c r="G535" i="14" l="1"/>
  <c r="H535" i="14" s="1"/>
  <c r="I535" i="14" s="1"/>
  <c r="K535" i="14" s="1"/>
  <c r="M535" i="14" s="1"/>
  <c r="N535" i="14" s="1"/>
  <c r="O535" i="14" s="1"/>
  <c r="P535" i="14" s="1"/>
  <c r="P534" i="14"/>
  <c r="D536" i="14"/>
  <c r="F536" i="14"/>
  <c r="E536" i="14"/>
  <c r="A538" i="14"/>
  <c r="B537" i="14"/>
  <c r="L537" i="14"/>
  <c r="G536" i="14" l="1"/>
  <c r="H536" i="14" s="1"/>
  <c r="I536" i="14" s="1"/>
  <c r="K536" i="14" s="1"/>
  <c r="M536" i="14" s="1"/>
  <c r="N536" i="14" s="1"/>
  <c r="O536" i="14" s="1"/>
  <c r="P536" i="14" s="1"/>
  <c r="A539" i="14"/>
  <c r="B538" i="14"/>
  <c r="L538" i="14"/>
  <c r="D537" i="14"/>
  <c r="F537" i="14"/>
  <c r="E537" i="14"/>
  <c r="D538" i="14" l="1"/>
  <c r="F538" i="14"/>
  <c r="E538" i="14"/>
  <c r="A540" i="14"/>
  <c r="B539" i="14"/>
  <c r="L539" i="14"/>
  <c r="G537" i="14"/>
  <c r="H537" i="14" s="1"/>
  <c r="I537" i="14" s="1"/>
  <c r="K537" i="14" s="1"/>
  <c r="M537" i="14" s="1"/>
  <c r="G538" i="14" l="1"/>
  <c r="H538" i="14" s="1"/>
  <c r="I538" i="14" s="1"/>
  <c r="K538" i="14" s="1"/>
  <c r="M538" i="14" s="1"/>
  <c r="N538" i="14" s="1"/>
  <c r="O538" i="14" s="1"/>
  <c r="P538" i="14" s="1"/>
  <c r="A541" i="14"/>
  <c r="B540" i="14"/>
  <c r="L540" i="14"/>
  <c r="N537" i="14"/>
  <c r="O537" i="14" s="1"/>
  <c r="P537" i="14" s="1"/>
  <c r="D539" i="14"/>
  <c r="F539" i="14"/>
  <c r="E539" i="14"/>
  <c r="G539" i="14" l="1"/>
  <c r="H539" i="14" s="1"/>
  <c r="I539" i="14" s="1"/>
  <c r="K539" i="14" s="1"/>
  <c r="M539" i="14" s="1"/>
  <c r="N539" i="14" s="1"/>
  <c r="O539" i="14" s="1"/>
  <c r="P539" i="14" s="1"/>
  <c r="D540" i="14"/>
  <c r="E540" i="14"/>
  <c r="F540" i="14"/>
  <c r="A542" i="14"/>
  <c r="B541" i="14"/>
  <c r="L541" i="14"/>
  <c r="G540" i="14" l="1"/>
  <c r="H540" i="14" s="1"/>
  <c r="I540" i="14" s="1"/>
  <c r="K540" i="14" s="1"/>
  <c r="M540" i="14" s="1"/>
  <c r="D541" i="14"/>
  <c r="F541" i="14"/>
  <c r="E541" i="14"/>
  <c r="A543" i="14"/>
  <c r="B542" i="14"/>
  <c r="L542" i="14"/>
  <c r="N540" i="14" l="1"/>
  <c r="O540" i="14" s="1"/>
  <c r="P540" i="14" s="1"/>
  <c r="G541" i="14"/>
  <c r="H541" i="14" s="1"/>
  <c r="I541" i="14" s="1"/>
  <c r="K541" i="14" s="1"/>
  <c r="M541" i="14" s="1"/>
  <c r="N541" i="14" s="1"/>
  <c r="O541" i="14" s="1"/>
  <c r="P541" i="14" s="1"/>
  <c r="A544" i="14"/>
  <c r="B543" i="14"/>
  <c r="L543" i="14"/>
  <c r="D542" i="14"/>
  <c r="E542" i="14"/>
  <c r="F542" i="14"/>
  <c r="G542" i="14" l="1"/>
  <c r="H542" i="14" s="1"/>
  <c r="I542" i="14" s="1"/>
  <c r="K542" i="14" s="1"/>
  <c r="M542" i="14" s="1"/>
  <c r="N542" i="14" s="1"/>
  <c r="O542" i="14" s="1"/>
  <c r="D543" i="14"/>
  <c r="F543" i="14"/>
  <c r="E543" i="14"/>
  <c r="A545" i="14"/>
  <c r="B544" i="14"/>
  <c r="L544" i="14"/>
  <c r="G543" i="14" l="1"/>
  <c r="H543" i="14" s="1"/>
  <c r="I543" i="14" s="1"/>
  <c r="K543" i="14" s="1"/>
  <c r="M543" i="14" s="1"/>
  <c r="N543" i="14" s="1"/>
  <c r="O543" i="14" s="1"/>
  <c r="P542" i="14"/>
  <c r="D544" i="14"/>
  <c r="F544" i="14"/>
  <c r="E544" i="14"/>
  <c r="A546" i="14"/>
  <c r="B545" i="14"/>
  <c r="L545" i="14"/>
  <c r="P543" i="14" l="1"/>
  <c r="G544" i="14"/>
  <c r="H544" i="14" s="1"/>
  <c r="I544" i="14" s="1"/>
  <c r="K544" i="14" s="1"/>
  <c r="M544" i="14" s="1"/>
  <c r="N544" i="14" s="1"/>
  <c r="O544" i="14" s="1"/>
  <c r="P544" i="14" s="1"/>
  <c r="A547" i="14"/>
  <c r="B546" i="14"/>
  <c r="L546" i="14"/>
  <c r="D545" i="14"/>
  <c r="E545" i="14"/>
  <c r="F545" i="14"/>
  <c r="G545" i="14" l="1"/>
  <c r="D546" i="14"/>
  <c r="F546" i="14"/>
  <c r="E546" i="14"/>
  <c r="A548" i="14"/>
  <c r="B547" i="14"/>
  <c r="L547" i="14"/>
  <c r="G546" i="14" l="1"/>
  <c r="H546" i="14" s="1"/>
  <c r="I546" i="14" s="1"/>
  <c r="K546" i="14" s="1"/>
  <c r="M546" i="14" s="1"/>
  <c r="N546" i="14" s="1"/>
  <c r="O546" i="14" s="1"/>
  <c r="P546" i="14" s="1"/>
  <c r="H545" i="14"/>
  <c r="I545" i="14" s="1"/>
  <c r="K545" i="14" s="1"/>
  <c r="M545" i="14" s="1"/>
  <c r="D547" i="14"/>
  <c r="F547" i="14"/>
  <c r="E547" i="14"/>
  <c r="A549" i="14"/>
  <c r="B548" i="14"/>
  <c r="L548" i="14"/>
  <c r="G547" i="14" l="1"/>
  <c r="H547" i="14" s="1"/>
  <c r="I547" i="14" s="1"/>
  <c r="K547" i="14" s="1"/>
  <c r="M547" i="14" s="1"/>
  <c r="N547" i="14" s="1"/>
  <c r="O547" i="14" s="1"/>
  <c r="P547" i="14" s="1"/>
  <c r="N545" i="14"/>
  <c r="O545" i="14" s="1"/>
  <c r="P545" i="14" s="1"/>
  <c r="D548" i="14"/>
  <c r="E548" i="14"/>
  <c r="F548" i="14"/>
  <c r="A550" i="14"/>
  <c r="B549" i="14"/>
  <c r="L549" i="14"/>
  <c r="A551" i="14" l="1"/>
  <c r="B550" i="14"/>
  <c r="L550" i="14"/>
  <c r="G548" i="14"/>
  <c r="H548" i="14" s="1"/>
  <c r="I548" i="14" s="1"/>
  <c r="K548" i="14" s="1"/>
  <c r="M548" i="14" s="1"/>
  <c r="N548" i="14" s="1"/>
  <c r="O548" i="14" s="1"/>
  <c r="P548" i="14" s="1"/>
  <c r="D549" i="14"/>
  <c r="F549" i="14"/>
  <c r="E549" i="14"/>
  <c r="G549" i="14" l="1"/>
  <c r="H549" i="14" s="1"/>
  <c r="I549" i="14" s="1"/>
  <c r="K549" i="14" s="1"/>
  <c r="M549" i="14" s="1"/>
  <c r="N549" i="14" s="1"/>
  <c r="O549" i="14" s="1"/>
  <c r="D550" i="14"/>
  <c r="F550" i="14"/>
  <c r="E550" i="14"/>
  <c r="A552" i="14"/>
  <c r="B551" i="14"/>
  <c r="L551" i="14"/>
  <c r="G550" i="14" l="1"/>
  <c r="H550" i="14" s="1"/>
  <c r="I550" i="14" s="1"/>
  <c r="K550" i="14" s="1"/>
  <c r="M550" i="14" s="1"/>
  <c r="N550" i="14" s="1"/>
  <c r="O550" i="14" s="1"/>
  <c r="P549" i="14"/>
  <c r="D551" i="14"/>
  <c r="F551" i="14"/>
  <c r="E551" i="14"/>
  <c r="A553" i="14"/>
  <c r="B552" i="14"/>
  <c r="L552" i="14"/>
  <c r="P550" i="14" l="1"/>
  <c r="G551" i="14"/>
  <c r="H551" i="14" s="1"/>
  <c r="I551" i="14" s="1"/>
  <c r="K551" i="14" s="1"/>
  <c r="M551" i="14" s="1"/>
  <c r="N551" i="14" s="1"/>
  <c r="O551" i="14" s="1"/>
  <c r="D552" i="14"/>
  <c r="F552" i="14"/>
  <c r="E552" i="14"/>
  <c r="A554" i="14"/>
  <c r="B553" i="14"/>
  <c r="L553" i="14"/>
  <c r="G552" i="14" l="1"/>
  <c r="H552" i="14" s="1"/>
  <c r="I552" i="14" s="1"/>
  <c r="K552" i="14" s="1"/>
  <c r="M552" i="14" s="1"/>
  <c r="N552" i="14" s="1"/>
  <c r="O552" i="14" s="1"/>
  <c r="P552" i="14" s="1"/>
  <c r="P551" i="14"/>
  <c r="A555" i="14"/>
  <c r="B554" i="14"/>
  <c r="L554" i="14"/>
  <c r="D553" i="14"/>
  <c r="F553" i="14"/>
  <c r="E553" i="14"/>
  <c r="G553" i="14" l="1"/>
  <c r="H553" i="14" s="1"/>
  <c r="I553" i="14" s="1"/>
  <c r="K553" i="14" s="1"/>
  <c r="M553" i="14" s="1"/>
  <c r="N553" i="14" s="1"/>
  <c r="O553" i="14" s="1"/>
  <c r="P553" i="14" s="1"/>
  <c r="D554" i="14"/>
  <c r="F554" i="14"/>
  <c r="E554" i="14"/>
  <c r="A556" i="14"/>
  <c r="B555" i="14"/>
  <c r="L555" i="14"/>
  <c r="G554" i="14" l="1"/>
  <c r="H554" i="14" s="1"/>
  <c r="I554" i="14" s="1"/>
  <c r="K554" i="14" s="1"/>
  <c r="M554" i="14" s="1"/>
  <c r="N554" i="14" s="1"/>
  <c r="O554" i="14" s="1"/>
  <c r="P554" i="14" s="1"/>
  <c r="D555" i="14"/>
  <c r="F555" i="14"/>
  <c r="E555" i="14"/>
  <c r="A557" i="14"/>
  <c r="B556" i="14"/>
  <c r="L556" i="14"/>
  <c r="G555" i="14" l="1"/>
  <c r="H555" i="14" s="1"/>
  <c r="I555" i="14" s="1"/>
  <c r="K555" i="14" s="1"/>
  <c r="M555" i="14" s="1"/>
  <c r="N555" i="14" s="1"/>
  <c r="O555" i="14" s="1"/>
  <c r="P555" i="14" s="1"/>
  <c r="D556" i="14"/>
  <c r="F556" i="14"/>
  <c r="E556" i="14"/>
  <c r="A558" i="14"/>
  <c r="B557" i="14"/>
  <c r="L557" i="14"/>
  <c r="G556" i="14" l="1"/>
  <c r="H556" i="14" s="1"/>
  <c r="I556" i="14" s="1"/>
  <c r="K556" i="14" s="1"/>
  <c r="M556" i="14" s="1"/>
  <c r="N556" i="14" s="1"/>
  <c r="O556" i="14" s="1"/>
  <c r="P556" i="14" s="1"/>
  <c r="A559" i="14"/>
  <c r="B558" i="14"/>
  <c r="L558" i="14"/>
  <c r="D557" i="14"/>
  <c r="F557" i="14"/>
  <c r="E557" i="14"/>
  <c r="G557" i="14" l="1"/>
  <c r="H557" i="14" s="1"/>
  <c r="I557" i="14" s="1"/>
  <c r="K557" i="14" s="1"/>
  <c r="M557" i="14" s="1"/>
  <c r="N557" i="14" s="1"/>
  <c r="O557" i="14" s="1"/>
  <c r="D558" i="14"/>
  <c r="E558" i="14"/>
  <c r="F558" i="14"/>
  <c r="A560" i="14"/>
  <c r="B559" i="14"/>
  <c r="L559" i="14"/>
  <c r="P557" i="14" l="1"/>
  <c r="G558" i="14"/>
  <c r="H558" i="14" s="1"/>
  <c r="I558" i="14" s="1"/>
  <c r="K558" i="14" s="1"/>
  <c r="M558" i="14" s="1"/>
  <c r="D559" i="14"/>
  <c r="E559" i="14"/>
  <c r="F559" i="14"/>
  <c r="A561" i="14"/>
  <c r="B560" i="14"/>
  <c r="L560" i="14"/>
  <c r="A562" i="14" l="1"/>
  <c r="B561" i="14"/>
  <c r="L561" i="14"/>
  <c r="D560" i="14"/>
  <c r="F560" i="14"/>
  <c r="E560" i="14"/>
  <c r="G559" i="14"/>
  <c r="H559" i="14" s="1"/>
  <c r="I559" i="14" s="1"/>
  <c r="K559" i="14" s="1"/>
  <c r="M559" i="14" s="1"/>
  <c r="N558" i="14"/>
  <c r="O558" i="14" s="1"/>
  <c r="P558" i="14" s="1"/>
  <c r="G560" i="14" l="1"/>
  <c r="H560" i="14" s="1"/>
  <c r="I560" i="14" s="1"/>
  <c r="K560" i="14" s="1"/>
  <c r="M560" i="14" s="1"/>
  <c r="N560" i="14" s="1"/>
  <c r="O560" i="14" s="1"/>
  <c r="N559" i="14"/>
  <c r="O559" i="14" s="1"/>
  <c r="P559" i="14" s="1"/>
  <c r="D561" i="14"/>
  <c r="F561" i="14"/>
  <c r="E561" i="14"/>
  <c r="A563" i="14"/>
  <c r="B562" i="14"/>
  <c r="L562" i="14"/>
  <c r="P560" i="14" l="1"/>
  <c r="D562" i="14"/>
  <c r="E562" i="14"/>
  <c r="F562" i="14"/>
  <c r="A564" i="14"/>
  <c r="B563" i="14"/>
  <c r="L563" i="14"/>
  <c r="G561" i="14"/>
  <c r="H561" i="14" s="1"/>
  <c r="I561" i="14" s="1"/>
  <c r="K561" i="14" s="1"/>
  <c r="M561" i="14" s="1"/>
  <c r="N561" i="14" s="1"/>
  <c r="O561" i="14" s="1"/>
  <c r="P561" i="14" s="1"/>
  <c r="D563" i="14" l="1"/>
  <c r="E563" i="14"/>
  <c r="F563" i="14"/>
  <c r="A565" i="14"/>
  <c r="B564" i="14"/>
  <c r="L564" i="14"/>
  <c r="G562" i="14"/>
  <c r="H562" i="14" s="1"/>
  <c r="I562" i="14" s="1"/>
  <c r="K562" i="14" s="1"/>
  <c r="M562" i="14" s="1"/>
  <c r="N562" i="14" l="1"/>
  <c r="O562" i="14" s="1"/>
  <c r="P562" i="14" s="1"/>
  <c r="A566" i="14"/>
  <c r="B565" i="14"/>
  <c r="L565" i="14"/>
  <c r="D564" i="14"/>
  <c r="E564" i="14"/>
  <c r="F564" i="14"/>
  <c r="G563" i="14"/>
  <c r="H563" i="14" s="1"/>
  <c r="I563" i="14" s="1"/>
  <c r="K563" i="14" s="1"/>
  <c r="M563" i="14" s="1"/>
  <c r="G564" i="14" l="1"/>
  <c r="H564" i="14" s="1"/>
  <c r="I564" i="14" s="1"/>
  <c r="K564" i="14" s="1"/>
  <c r="M564" i="14" s="1"/>
  <c r="N564" i="14" s="1"/>
  <c r="O564" i="14" s="1"/>
  <c r="P564" i="14" s="1"/>
  <c r="D565" i="14"/>
  <c r="E565" i="14"/>
  <c r="F565" i="14"/>
  <c r="A567" i="14"/>
  <c r="B566" i="14"/>
  <c r="L566" i="14"/>
  <c r="N563" i="14"/>
  <c r="O563" i="14" s="1"/>
  <c r="P563" i="14" s="1"/>
  <c r="D566" i="14" l="1"/>
  <c r="F566" i="14"/>
  <c r="E566" i="14"/>
  <c r="A568" i="14"/>
  <c r="B567" i="14"/>
  <c r="L567" i="14"/>
  <c r="G565" i="14"/>
  <c r="H565" i="14" s="1"/>
  <c r="I565" i="14" s="1"/>
  <c r="K565" i="14" s="1"/>
  <c r="M565" i="14" s="1"/>
  <c r="G566" i="14" l="1"/>
  <c r="H566" i="14" s="1"/>
  <c r="I566" i="14" s="1"/>
  <c r="K566" i="14" s="1"/>
  <c r="M566" i="14" s="1"/>
  <c r="N566" i="14" s="1"/>
  <c r="O566" i="14" s="1"/>
  <c r="P566" i="14" s="1"/>
  <c r="N565" i="14"/>
  <c r="O565" i="14" s="1"/>
  <c r="P565" i="14" s="1"/>
  <c r="D567" i="14"/>
  <c r="F567" i="14"/>
  <c r="E567" i="14"/>
  <c r="A569" i="14"/>
  <c r="B568" i="14"/>
  <c r="L568" i="14"/>
  <c r="G567" i="14" l="1"/>
  <c r="H567" i="14" s="1"/>
  <c r="I567" i="14" s="1"/>
  <c r="K567" i="14" s="1"/>
  <c r="M567" i="14" s="1"/>
  <c r="N567" i="14" s="1"/>
  <c r="O567" i="14" s="1"/>
  <c r="P567" i="14" s="1"/>
  <c r="A570" i="14"/>
  <c r="B569" i="14"/>
  <c r="L569" i="14"/>
  <c r="D568" i="14"/>
  <c r="F568" i="14"/>
  <c r="E568" i="14"/>
  <c r="D569" i="14" l="1"/>
  <c r="F569" i="14"/>
  <c r="E569" i="14"/>
  <c r="G568" i="14"/>
  <c r="H568" i="14" s="1"/>
  <c r="I568" i="14" s="1"/>
  <c r="K568" i="14" s="1"/>
  <c r="M568" i="14" s="1"/>
  <c r="A571" i="14"/>
  <c r="B570" i="14"/>
  <c r="L570" i="14"/>
  <c r="G569" i="14" l="1"/>
  <c r="H569" i="14" s="1"/>
  <c r="I569" i="14" s="1"/>
  <c r="K569" i="14" s="1"/>
  <c r="M569" i="14" s="1"/>
  <c r="N569" i="14" s="1"/>
  <c r="O569" i="14" s="1"/>
  <c r="P569" i="14" s="1"/>
  <c r="D570" i="14"/>
  <c r="F570" i="14"/>
  <c r="E570" i="14"/>
  <c r="A572" i="14"/>
  <c r="B571" i="14"/>
  <c r="L571" i="14"/>
  <c r="N568" i="14"/>
  <c r="O568" i="14" s="1"/>
  <c r="P568" i="14" s="1"/>
  <c r="G570" i="14" l="1"/>
  <c r="H570" i="14" s="1"/>
  <c r="I570" i="14" s="1"/>
  <c r="K570" i="14" s="1"/>
  <c r="M570" i="14" s="1"/>
  <c r="N570" i="14" s="1"/>
  <c r="O570" i="14" s="1"/>
  <c r="P570" i="14" s="1"/>
  <c r="D571" i="14"/>
  <c r="F571" i="14"/>
  <c r="E571" i="14"/>
  <c r="A573" i="14"/>
  <c r="B572" i="14"/>
  <c r="L572" i="14"/>
  <c r="G571" i="14" l="1"/>
  <c r="H571" i="14" s="1"/>
  <c r="I571" i="14" s="1"/>
  <c r="K571" i="14" s="1"/>
  <c r="M571" i="14" s="1"/>
  <c r="D572" i="14"/>
  <c r="F572" i="14"/>
  <c r="E572" i="14"/>
  <c r="A574" i="14"/>
  <c r="B573" i="14"/>
  <c r="L573" i="14"/>
  <c r="N571" i="14" l="1"/>
  <c r="O571" i="14" s="1"/>
  <c r="P571" i="14" s="1"/>
  <c r="G572" i="14"/>
  <c r="H572" i="14" s="1"/>
  <c r="I572" i="14" s="1"/>
  <c r="K572" i="14" s="1"/>
  <c r="M572" i="14" s="1"/>
  <c r="D573" i="14"/>
  <c r="F573" i="14"/>
  <c r="E573" i="14"/>
  <c r="A575" i="14"/>
  <c r="B574" i="14"/>
  <c r="L574" i="14"/>
  <c r="G573" i="14" l="1"/>
  <c r="H573" i="14" s="1"/>
  <c r="I573" i="14" s="1"/>
  <c r="K573" i="14" s="1"/>
  <c r="M573" i="14" s="1"/>
  <c r="N573" i="14" s="1"/>
  <c r="O573" i="14" s="1"/>
  <c r="P573" i="14" s="1"/>
  <c r="N572" i="14"/>
  <c r="O572" i="14" s="1"/>
  <c r="P572" i="14" s="1"/>
  <c r="A576" i="14"/>
  <c r="B575" i="14"/>
  <c r="L575" i="14"/>
  <c r="D574" i="14"/>
  <c r="E574" i="14"/>
  <c r="F574" i="14"/>
  <c r="G574" i="14" l="1"/>
  <c r="H574" i="14" s="1"/>
  <c r="I574" i="14" s="1"/>
  <c r="K574" i="14" s="1"/>
  <c r="M574" i="14" s="1"/>
  <c r="N574" i="14" s="1"/>
  <c r="O574" i="14" s="1"/>
  <c r="P574" i="14" s="1"/>
  <c r="D575" i="14"/>
  <c r="F575" i="14"/>
  <c r="E575" i="14"/>
  <c r="A577" i="14"/>
  <c r="B576" i="14"/>
  <c r="L576" i="14"/>
  <c r="G575" i="14" l="1"/>
  <c r="H575" i="14" s="1"/>
  <c r="I575" i="14" s="1"/>
  <c r="K575" i="14" s="1"/>
  <c r="M575" i="14" s="1"/>
  <c r="N575" i="14" s="1"/>
  <c r="O575" i="14" s="1"/>
  <c r="P575" i="14" s="1"/>
  <c r="D576" i="14"/>
  <c r="F576" i="14"/>
  <c r="E576" i="14"/>
  <c r="A578" i="14"/>
  <c r="B577" i="14"/>
  <c r="L577" i="14"/>
  <c r="G576" i="14" l="1"/>
  <c r="H576" i="14" s="1"/>
  <c r="I576" i="14" s="1"/>
  <c r="K576" i="14" s="1"/>
  <c r="M576" i="14" s="1"/>
  <c r="N576" i="14" s="1"/>
  <c r="O576" i="14" s="1"/>
  <c r="P576" i="14" s="1"/>
  <c r="A579" i="14"/>
  <c r="B578" i="14"/>
  <c r="L578" i="14"/>
  <c r="D577" i="14"/>
  <c r="F577" i="14"/>
  <c r="E577" i="14"/>
  <c r="D578" i="14" l="1"/>
  <c r="E578" i="14"/>
  <c r="F578" i="14"/>
  <c r="G577" i="14"/>
  <c r="H577" i="14" s="1"/>
  <c r="I577" i="14" s="1"/>
  <c r="K577" i="14" s="1"/>
  <c r="M577" i="14" s="1"/>
  <c r="N577" i="14" s="1"/>
  <c r="O577" i="14" s="1"/>
  <c r="P577" i="14" s="1"/>
  <c r="A580" i="14"/>
  <c r="B579" i="14"/>
  <c r="L579" i="14"/>
  <c r="A581" i="14" l="1"/>
  <c r="B580" i="14"/>
  <c r="L580" i="14"/>
  <c r="D579" i="14"/>
  <c r="F579" i="14"/>
  <c r="E579" i="14"/>
  <c r="G578" i="14"/>
  <c r="H578" i="14" s="1"/>
  <c r="I578" i="14" s="1"/>
  <c r="K578" i="14" s="1"/>
  <c r="M578" i="14" s="1"/>
  <c r="G579" i="14" l="1"/>
  <c r="H579" i="14" s="1"/>
  <c r="I579" i="14" s="1"/>
  <c r="K579" i="14" s="1"/>
  <c r="M579" i="14" s="1"/>
  <c r="N579" i="14" s="1"/>
  <c r="O579" i="14" s="1"/>
  <c r="P579" i="14" s="1"/>
  <c r="N578" i="14"/>
  <c r="O578" i="14" s="1"/>
  <c r="P578" i="14" s="1"/>
  <c r="D580" i="14"/>
  <c r="F580" i="14"/>
  <c r="E580" i="14"/>
  <c r="A582" i="14"/>
  <c r="B581" i="14"/>
  <c r="L581" i="14"/>
  <c r="D581" i="14" l="1"/>
  <c r="F581" i="14"/>
  <c r="E581" i="14"/>
  <c r="A583" i="14"/>
  <c r="B582" i="14"/>
  <c r="L582" i="14"/>
  <c r="G580" i="14"/>
  <c r="H580" i="14" s="1"/>
  <c r="I580" i="14" s="1"/>
  <c r="K580" i="14" s="1"/>
  <c r="M580" i="14" s="1"/>
  <c r="N580" i="14" s="1"/>
  <c r="O580" i="14" s="1"/>
  <c r="P580" i="14" s="1"/>
  <c r="G581" i="14" l="1"/>
  <c r="H581" i="14" s="1"/>
  <c r="I581" i="14" s="1"/>
  <c r="K581" i="14" s="1"/>
  <c r="M581" i="14" s="1"/>
  <c r="N581" i="14" s="1"/>
  <c r="O581" i="14" s="1"/>
  <c r="P581" i="14" s="1"/>
  <c r="D582" i="14"/>
  <c r="F582" i="14"/>
  <c r="E582" i="14"/>
  <c r="A584" i="14"/>
  <c r="B583" i="14"/>
  <c r="L583" i="14"/>
  <c r="G582" i="14" l="1"/>
  <c r="H582" i="14" s="1"/>
  <c r="I582" i="14" s="1"/>
  <c r="K582" i="14" s="1"/>
  <c r="M582" i="14" s="1"/>
  <c r="N582" i="14" s="1"/>
  <c r="O582" i="14" s="1"/>
  <c r="D583" i="14"/>
  <c r="F583" i="14"/>
  <c r="E583" i="14"/>
  <c r="A585" i="14"/>
  <c r="B584" i="14"/>
  <c r="L584" i="14"/>
  <c r="G583" i="14" l="1"/>
  <c r="H583" i="14" s="1"/>
  <c r="I583" i="14" s="1"/>
  <c r="K583" i="14" s="1"/>
  <c r="M583" i="14" s="1"/>
  <c r="N583" i="14" s="1"/>
  <c r="O583" i="14" s="1"/>
  <c r="P582" i="14"/>
  <c r="D584" i="14"/>
  <c r="F584" i="14"/>
  <c r="E584" i="14"/>
  <c r="A586" i="14"/>
  <c r="B585" i="14"/>
  <c r="L585" i="14"/>
  <c r="G584" i="14" l="1"/>
  <c r="H584" i="14" s="1"/>
  <c r="I584" i="14" s="1"/>
  <c r="K584" i="14" s="1"/>
  <c r="M584" i="14" s="1"/>
  <c r="N584" i="14" s="1"/>
  <c r="O584" i="14" s="1"/>
  <c r="P583" i="14"/>
  <c r="D585" i="14"/>
  <c r="F585" i="14"/>
  <c r="E585" i="14"/>
  <c r="A587" i="14"/>
  <c r="B586" i="14"/>
  <c r="L586" i="14"/>
  <c r="G585" i="14" l="1"/>
  <c r="H585" i="14" s="1"/>
  <c r="I585" i="14" s="1"/>
  <c r="K585" i="14" s="1"/>
  <c r="M585" i="14" s="1"/>
  <c r="N585" i="14" s="1"/>
  <c r="O585" i="14" s="1"/>
  <c r="P584" i="14"/>
  <c r="D586" i="14"/>
  <c r="F586" i="14"/>
  <c r="E586" i="14"/>
  <c r="A588" i="14"/>
  <c r="B587" i="14"/>
  <c r="L587" i="14"/>
  <c r="P585" i="14" l="1"/>
  <c r="G586" i="14"/>
  <c r="H586" i="14" s="1"/>
  <c r="I586" i="14" s="1"/>
  <c r="K586" i="14" s="1"/>
  <c r="M586" i="14" s="1"/>
  <c r="N586" i="14" s="1"/>
  <c r="O586" i="14" s="1"/>
  <c r="P586" i="14" s="1"/>
  <c r="D587" i="14"/>
  <c r="F587" i="14"/>
  <c r="E587" i="14"/>
  <c r="A589" i="14"/>
  <c r="B588" i="14"/>
  <c r="L588" i="14"/>
  <c r="G587" i="14" l="1"/>
  <c r="H587" i="14" s="1"/>
  <c r="I587" i="14" s="1"/>
  <c r="K587" i="14" s="1"/>
  <c r="M587" i="14" s="1"/>
  <c r="N587" i="14" s="1"/>
  <c r="O587" i="14" s="1"/>
  <c r="P587" i="14" s="1"/>
  <c r="A590" i="14"/>
  <c r="B589" i="14"/>
  <c r="L589" i="14"/>
  <c r="D588" i="14"/>
  <c r="F588" i="14"/>
  <c r="E588" i="14"/>
  <c r="D589" i="14" l="1"/>
  <c r="F589" i="14"/>
  <c r="E589" i="14"/>
  <c r="A591" i="14"/>
  <c r="B590" i="14"/>
  <c r="L590" i="14"/>
  <c r="G588" i="14"/>
  <c r="H588" i="14" s="1"/>
  <c r="I588" i="14" s="1"/>
  <c r="K588" i="14" s="1"/>
  <c r="M588" i="14" s="1"/>
  <c r="N588" i="14" l="1"/>
  <c r="O588" i="14" s="1"/>
  <c r="P588" i="14" s="1"/>
  <c r="G589" i="14"/>
  <c r="H589" i="14" s="1"/>
  <c r="I589" i="14" s="1"/>
  <c r="K589" i="14" s="1"/>
  <c r="M589" i="14" s="1"/>
  <c r="N589" i="14" s="1"/>
  <c r="O589" i="14" s="1"/>
  <c r="P589" i="14" s="1"/>
  <c r="D590" i="14"/>
  <c r="E590" i="14"/>
  <c r="F590" i="14"/>
  <c r="A592" i="14"/>
  <c r="B591" i="14"/>
  <c r="L591" i="14"/>
  <c r="G590" i="14" l="1"/>
  <c r="H590" i="14" s="1"/>
  <c r="I590" i="14" s="1"/>
  <c r="K590" i="14" s="1"/>
  <c r="M590" i="14" s="1"/>
  <c r="N590" i="14" s="1"/>
  <c r="O590" i="14" s="1"/>
  <c r="D591" i="14"/>
  <c r="E591" i="14"/>
  <c r="F591" i="14"/>
  <c r="A593" i="14"/>
  <c r="B592" i="14"/>
  <c r="L592" i="14"/>
  <c r="G591" i="14" l="1"/>
  <c r="H591" i="14" s="1"/>
  <c r="I591" i="14" s="1"/>
  <c r="K591" i="14" s="1"/>
  <c r="M591" i="14" s="1"/>
  <c r="N591" i="14" s="1"/>
  <c r="O591" i="14" s="1"/>
  <c r="P590" i="14"/>
  <c r="D592" i="14"/>
  <c r="F592" i="14"/>
  <c r="E592" i="14"/>
  <c r="A594" i="14"/>
  <c r="B593" i="14"/>
  <c r="L593" i="14"/>
  <c r="G592" i="14" l="1"/>
  <c r="H592" i="14" s="1"/>
  <c r="I592" i="14" s="1"/>
  <c r="K592" i="14" s="1"/>
  <c r="M592" i="14" s="1"/>
  <c r="N592" i="14" s="1"/>
  <c r="O592" i="14" s="1"/>
  <c r="P592" i="14" s="1"/>
  <c r="P591" i="14"/>
  <c r="D593" i="14"/>
  <c r="F593" i="14"/>
  <c r="E593" i="14"/>
  <c r="A595" i="14"/>
  <c r="B594" i="14"/>
  <c r="L594" i="14"/>
  <c r="G593" i="14" l="1"/>
  <c r="H593" i="14" s="1"/>
  <c r="I593" i="14" s="1"/>
  <c r="K593" i="14" s="1"/>
  <c r="M593" i="14" s="1"/>
  <c r="A596" i="14"/>
  <c r="B595" i="14"/>
  <c r="L595" i="14"/>
  <c r="D594" i="14"/>
  <c r="F594" i="14"/>
  <c r="E594" i="14"/>
  <c r="N593" i="14" l="1"/>
  <c r="O593" i="14" s="1"/>
  <c r="P593" i="14" s="1"/>
  <c r="A597" i="14"/>
  <c r="B596" i="14"/>
  <c r="L596" i="14"/>
  <c r="D595" i="14"/>
  <c r="E595" i="14"/>
  <c r="F595" i="14"/>
  <c r="G594" i="14"/>
  <c r="H594" i="14" s="1"/>
  <c r="I594" i="14" s="1"/>
  <c r="K594" i="14" s="1"/>
  <c r="M594" i="14" s="1"/>
  <c r="G595" i="14" l="1"/>
  <c r="H595" i="14" s="1"/>
  <c r="I595" i="14" s="1"/>
  <c r="K595" i="14" s="1"/>
  <c r="M595" i="14" s="1"/>
  <c r="N595" i="14" s="1"/>
  <c r="O595" i="14" s="1"/>
  <c r="D596" i="14"/>
  <c r="F596" i="14"/>
  <c r="E596" i="14"/>
  <c r="A598" i="14"/>
  <c r="B597" i="14"/>
  <c r="L597" i="14"/>
  <c r="N594" i="14"/>
  <c r="O594" i="14" s="1"/>
  <c r="P594" i="14" s="1"/>
  <c r="G596" i="14" l="1"/>
  <c r="H596" i="14" s="1"/>
  <c r="I596" i="14" s="1"/>
  <c r="K596" i="14" s="1"/>
  <c r="M596" i="14" s="1"/>
  <c r="N596" i="14" s="1"/>
  <c r="O596" i="14" s="1"/>
  <c r="P596" i="14" s="1"/>
  <c r="P595" i="14"/>
  <c r="A599" i="14"/>
  <c r="B598" i="14"/>
  <c r="L598" i="14"/>
  <c r="D597" i="14"/>
  <c r="F597" i="14"/>
  <c r="E597" i="14"/>
  <c r="G597" i="14" l="1"/>
  <c r="H597" i="14" s="1"/>
  <c r="I597" i="14" s="1"/>
  <c r="K597" i="14" s="1"/>
  <c r="M597" i="14" s="1"/>
  <c r="D598" i="14"/>
  <c r="F598" i="14"/>
  <c r="E598" i="14"/>
  <c r="A600" i="14"/>
  <c r="B599" i="14"/>
  <c r="L599" i="14"/>
  <c r="G598" i="14" l="1"/>
  <c r="H598" i="14" s="1"/>
  <c r="I598" i="14" s="1"/>
  <c r="K598" i="14" s="1"/>
  <c r="M598" i="14" s="1"/>
  <c r="N598" i="14" s="1"/>
  <c r="O598" i="14" s="1"/>
  <c r="P598" i="14" s="1"/>
  <c r="N597" i="14"/>
  <c r="O597" i="14" s="1"/>
  <c r="P597" i="14" s="1"/>
  <c r="A601" i="14"/>
  <c r="B600" i="14"/>
  <c r="L600" i="14"/>
  <c r="D599" i="14"/>
  <c r="F599" i="14"/>
  <c r="E599" i="14"/>
  <c r="D600" i="14" l="1"/>
  <c r="F600" i="14"/>
  <c r="E600" i="14"/>
  <c r="A602" i="14"/>
  <c r="B601" i="14"/>
  <c r="L601" i="14"/>
  <c r="G599" i="14"/>
  <c r="H599" i="14" s="1"/>
  <c r="I599" i="14" s="1"/>
  <c r="K599" i="14" s="1"/>
  <c r="M599" i="14" s="1"/>
  <c r="G600" i="14" l="1"/>
  <c r="H600" i="14" s="1"/>
  <c r="I600" i="14" s="1"/>
  <c r="K600" i="14" s="1"/>
  <c r="M600" i="14" s="1"/>
  <c r="N600" i="14" s="1"/>
  <c r="O600" i="14" s="1"/>
  <c r="P600" i="14" s="1"/>
  <c r="A603" i="14"/>
  <c r="B602" i="14"/>
  <c r="L602" i="14"/>
  <c r="D601" i="14"/>
  <c r="F601" i="14"/>
  <c r="E601" i="14"/>
  <c r="N599" i="14"/>
  <c r="O599" i="14" s="1"/>
  <c r="P599" i="14" s="1"/>
  <c r="G601" i="14" l="1"/>
  <c r="H601" i="14" s="1"/>
  <c r="I601" i="14" s="1"/>
  <c r="K601" i="14" s="1"/>
  <c r="M601" i="14" s="1"/>
  <c r="D602" i="14"/>
  <c r="F602" i="14"/>
  <c r="E602" i="14"/>
  <c r="A604" i="14"/>
  <c r="B603" i="14"/>
  <c r="L603" i="14"/>
  <c r="N601" i="14" l="1"/>
  <c r="O601" i="14" s="1"/>
  <c r="P601" i="14" s="1"/>
  <c r="G602" i="14"/>
  <c r="H602" i="14" s="1"/>
  <c r="I602" i="14" s="1"/>
  <c r="K602" i="14" s="1"/>
  <c r="M602" i="14" s="1"/>
  <c r="N602" i="14" s="1"/>
  <c r="O602" i="14" s="1"/>
  <c r="P602" i="14" s="1"/>
  <c r="A605" i="14"/>
  <c r="B604" i="14"/>
  <c r="L604" i="14"/>
  <c r="D603" i="14"/>
  <c r="F603" i="14"/>
  <c r="E603" i="14"/>
  <c r="G603" i="14" l="1"/>
  <c r="H603" i="14" s="1"/>
  <c r="I603" i="14" s="1"/>
  <c r="K603" i="14" s="1"/>
  <c r="M603" i="14" s="1"/>
  <c r="N603" i="14" s="1"/>
  <c r="O603" i="14" s="1"/>
  <c r="P603" i="14" s="1"/>
  <c r="D604" i="14"/>
  <c r="F604" i="14"/>
  <c r="E604" i="14"/>
  <c r="A606" i="14"/>
  <c r="B605" i="14"/>
  <c r="L605" i="14"/>
  <c r="G604" i="14" l="1"/>
  <c r="H604" i="14" s="1"/>
  <c r="I604" i="14" s="1"/>
  <c r="K604" i="14" s="1"/>
  <c r="M604" i="14" s="1"/>
  <c r="N604" i="14" s="1"/>
  <c r="O604" i="14" s="1"/>
  <c r="P604" i="14" s="1"/>
  <c r="D605" i="14"/>
  <c r="F605" i="14"/>
  <c r="E605" i="14"/>
  <c r="A607" i="14"/>
  <c r="B606" i="14"/>
  <c r="L606" i="14"/>
  <c r="G605" i="14" l="1"/>
  <c r="H605" i="14" s="1"/>
  <c r="I605" i="14" s="1"/>
  <c r="K605" i="14" s="1"/>
  <c r="M605" i="14" s="1"/>
  <c r="N605" i="14" s="1"/>
  <c r="O605" i="14" s="1"/>
  <c r="P605" i="14" s="1"/>
  <c r="A608" i="14"/>
  <c r="B607" i="14"/>
  <c r="L607" i="14"/>
  <c r="D606" i="14"/>
  <c r="F606" i="14"/>
  <c r="E606" i="14"/>
  <c r="D607" i="14" l="1"/>
  <c r="F607" i="14"/>
  <c r="E607" i="14"/>
  <c r="G606" i="14"/>
  <c r="A609" i="14"/>
  <c r="B608" i="14"/>
  <c r="L608" i="14"/>
  <c r="G607" i="14" l="1"/>
  <c r="H607" i="14" s="1"/>
  <c r="I607" i="14" s="1"/>
  <c r="K607" i="14" s="1"/>
  <c r="M607" i="14" s="1"/>
  <c r="N607" i="14" s="1"/>
  <c r="O607" i="14" s="1"/>
  <c r="P607" i="14" s="1"/>
  <c r="D608" i="14"/>
  <c r="F608" i="14"/>
  <c r="E608" i="14"/>
  <c r="A610" i="14"/>
  <c r="B609" i="14"/>
  <c r="L609" i="14"/>
  <c r="H606" i="14"/>
  <c r="I606" i="14" s="1"/>
  <c r="K606" i="14" s="1"/>
  <c r="M606" i="14" s="1"/>
  <c r="G608" i="14" l="1"/>
  <c r="H608" i="14" s="1"/>
  <c r="I608" i="14" s="1"/>
  <c r="K608" i="14" s="1"/>
  <c r="M608" i="14" s="1"/>
  <c r="N608" i="14" s="1"/>
  <c r="O608" i="14" s="1"/>
  <c r="P608" i="14" s="1"/>
  <c r="A611" i="14"/>
  <c r="B610" i="14"/>
  <c r="L610" i="14"/>
  <c r="D609" i="14"/>
  <c r="E609" i="14"/>
  <c r="F609" i="14"/>
  <c r="N606" i="14"/>
  <c r="O606" i="14" s="1"/>
  <c r="P606" i="14" s="1"/>
  <c r="G609" i="14" l="1"/>
  <c r="H609" i="14" s="1"/>
  <c r="I609" i="14" s="1"/>
  <c r="K609" i="14" s="1"/>
  <c r="M609" i="14" s="1"/>
  <c r="N609" i="14" s="1"/>
  <c r="O609" i="14" s="1"/>
  <c r="D610" i="14"/>
  <c r="F610" i="14"/>
  <c r="E610" i="14"/>
  <c r="A612" i="14"/>
  <c r="B611" i="14"/>
  <c r="L611" i="14"/>
  <c r="P609" i="14" l="1"/>
  <c r="G610" i="14"/>
  <c r="H610" i="14" s="1"/>
  <c r="I610" i="14" s="1"/>
  <c r="K610" i="14" s="1"/>
  <c r="M610" i="14" s="1"/>
  <c r="N610" i="14" s="1"/>
  <c r="O610" i="14" s="1"/>
  <c r="D611" i="14"/>
  <c r="F611" i="14"/>
  <c r="E611" i="14"/>
  <c r="A613" i="14"/>
  <c r="B612" i="14"/>
  <c r="L612" i="14"/>
  <c r="G611" i="14" l="1"/>
  <c r="H611" i="14" s="1"/>
  <c r="I611" i="14" s="1"/>
  <c r="K611" i="14" s="1"/>
  <c r="M611" i="14" s="1"/>
  <c r="N611" i="14" s="1"/>
  <c r="O611" i="14" s="1"/>
  <c r="P610" i="14"/>
  <c r="D612" i="14"/>
  <c r="E612" i="14"/>
  <c r="F612" i="14"/>
  <c r="A614" i="14"/>
  <c r="B613" i="14"/>
  <c r="L613" i="14"/>
  <c r="P611" i="14" l="1"/>
  <c r="A615" i="14"/>
  <c r="B614" i="14"/>
  <c r="L614" i="14"/>
  <c r="G612" i="14"/>
  <c r="H612" i="14" s="1"/>
  <c r="I612" i="14" s="1"/>
  <c r="K612" i="14" s="1"/>
  <c r="M612" i="14" s="1"/>
  <c r="N612" i="14" s="1"/>
  <c r="O612" i="14" s="1"/>
  <c r="P612" i="14" s="1"/>
  <c r="D613" i="14"/>
  <c r="F613" i="14"/>
  <c r="E613" i="14"/>
  <c r="G613" i="14" l="1"/>
  <c r="H613" i="14" s="1"/>
  <c r="I613" i="14" s="1"/>
  <c r="K613" i="14" s="1"/>
  <c r="M613" i="14" s="1"/>
  <c r="N613" i="14" s="1"/>
  <c r="O613" i="14" s="1"/>
  <c r="D614" i="14"/>
  <c r="F614" i="14"/>
  <c r="E614" i="14"/>
  <c r="A616" i="14"/>
  <c r="B615" i="14"/>
  <c r="L615" i="14"/>
  <c r="P613" i="14" l="1"/>
  <c r="G614" i="14"/>
  <c r="H614" i="14" s="1"/>
  <c r="I614" i="14" s="1"/>
  <c r="K614" i="14" s="1"/>
  <c r="M614" i="14" s="1"/>
  <c r="N614" i="14" s="1"/>
  <c r="O614" i="14" s="1"/>
  <c r="D615" i="14"/>
  <c r="E615" i="14"/>
  <c r="F615" i="14"/>
  <c r="A617" i="14"/>
  <c r="B616" i="14"/>
  <c r="L616" i="14"/>
  <c r="P614" i="14" l="1"/>
  <c r="D616" i="14"/>
  <c r="E616" i="14"/>
  <c r="F616" i="14"/>
  <c r="A618" i="14"/>
  <c r="B617" i="14"/>
  <c r="L617" i="14"/>
  <c r="G615" i="14"/>
  <c r="H615" i="14" s="1"/>
  <c r="I615" i="14" s="1"/>
  <c r="K615" i="14" s="1"/>
  <c r="M615" i="14" s="1"/>
  <c r="G616" i="14" l="1"/>
  <c r="H616" i="14" s="1"/>
  <c r="I616" i="14" s="1"/>
  <c r="K616" i="14" s="1"/>
  <c r="M616" i="14" s="1"/>
  <c r="N616" i="14" s="1"/>
  <c r="O616" i="14" s="1"/>
  <c r="A619" i="14"/>
  <c r="B618" i="14"/>
  <c r="L618" i="14"/>
  <c r="N615" i="14"/>
  <c r="O615" i="14" s="1"/>
  <c r="P615" i="14" s="1"/>
  <c r="D617" i="14"/>
  <c r="E617" i="14"/>
  <c r="F617" i="14"/>
  <c r="P616" i="14" l="1"/>
  <c r="G617" i="14"/>
  <c r="H617" i="14" s="1"/>
  <c r="I617" i="14" s="1"/>
  <c r="K617" i="14" s="1"/>
  <c r="M617" i="14" s="1"/>
  <c r="N617" i="14" s="1"/>
  <c r="O617" i="14" s="1"/>
  <c r="D618" i="14"/>
  <c r="F618" i="14"/>
  <c r="E618" i="14"/>
  <c r="A620" i="14"/>
  <c r="B619" i="14"/>
  <c r="L619" i="14"/>
  <c r="G618" i="14" l="1"/>
  <c r="H618" i="14" s="1"/>
  <c r="I618" i="14" s="1"/>
  <c r="K618" i="14" s="1"/>
  <c r="M618" i="14" s="1"/>
  <c r="N618" i="14" s="1"/>
  <c r="O618" i="14" s="1"/>
  <c r="P617" i="14"/>
  <c r="D619" i="14"/>
  <c r="F619" i="14"/>
  <c r="E619" i="14"/>
  <c r="A621" i="14"/>
  <c r="B620" i="14"/>
  <c r="L620" i="14"/>
  <c r="P618" i="14" l="1"/>
  <c r="G619" i="14"/>
  <c r="H619" i="14" s="1"/>
  <c r="I619" i="14" s="1"/>
  <c r="K619" i="14" s="1"/>
  <c r="M619" i="14" s="1"/>
  <c r="N619" i="14" s="1"/>
  <c r="O619" i="14" s="1"/>
  <c r="P619" i="14" s="1"/>
  <c r="D620" i="14"/>
  <c r="F620" i="14"/>
  <c r="E620" i="14"/>
  <c r="A622" i="14"/>
  <c r="B621" i="14"/>
  <c r="L621" i="14"/>
  <c r="D621" i="14" l="1"/>
  <c r="E621" i="14"/>
  <c r="F621" i="14"/>
  <c r="A623" i="14"/>
  <c r="B622" i="14"/>
  <c r="L622" i="14"/>
  <c r="G620" i="14"/>
  <c r="H620" i="14" s="1"/>
  <c r="I620" i="14" s="1"/>
  <c r="K620" i="14" s="1"/>
  <c r="M620" i="14" s="1"/>
  <c r="N620" i="14" l="1"/>
  <c r="O620" i="14" s="1"/>
  <c r="P620" i="14" s="1"/>
  <c r="D622" i="14"/>
  <c r="F622" i="14"/>
  <c r="E622" i="14"/>
  <c r="A624" i="14"/>
  <c r="B623" i="14"/>
  <c r="L623" i="14"/>
  <c r="G621" i="14"/>
  <c r="H621" i="14" s="1"/>
  <c r="I621" i="14" s="1"/>
  <c r="K621" i="14" s="1"/>
  <c r="M621" i="14" s="1"/>
  <c r="G622" i="14" l="1"/>
  <c r="H622" i="14" s="1"/>
  <c r="I622" i="14" s="1"/>
  <c r="K622" i="14" s="1"/>
  <c r="M622" i="14" s="1"/>
  <c r="N622" i="14" s="1"/>
  <c r="O622" i="14" s="1"/>
  <c r="P622" i="14" s="1"/>
  <c r="A625" i="14"/>
  <c r="B624" i="14"/>
  <c r="L624" i="14"/>
  <c r="N621" i="14"/>
  <c r="O621" i="14" s="1"/>
  <c r="P621" i="14" s="1"/>
  <c r="D623" i="14"/>
  <c r="E623" i="14"/>
  <c r="F623" i="14"/>
  <c r="G623" i="14" l="1"/>
  <c r="H623" i="14" s="1"/>
  <c r="I623" i="14" s="1"/>
  <c r="K623" i="14" s="1"/>
  <c r="M623" i="14" s="1"/>
  <c r="D624" i="14"/>
  <c r="F624" i="14"/>
  <c r="E624" i="14"/>
  <c r="A626" i="14"/>
  <c r="B625" i="14"/>
  <c r="L625" i="14"/>
  <c r="G624" i="14" l="1"/>
  <c r="H624" i="14" s="1"/>
  <c r="D625" i="14"/>
  <c r="E625" i="14"/>
  <c r="F625" i="14"/>
  <c r="A627" i="14"/>
  <c r="B626" i="14"/>
  <c r="L626" i="14"/>
  <c r="N623" i="14"/>
  <c r="O623" i="14" s="1"/>
  <c r="P623" i="14" s="1"/>
  <c r="I624" i="14" l="1"/>
  <c r="K624" i="14" s="1"/>
  <c r="M624" i="14" s="1"/>
  <c r="N624" i="14" s="1"/>
  <c r="O624" i="14" s="1"/>
  <c r="D626" i="14"/>
  <c r="F626" i="14"/>
  <c r="E626" i="14"/>
  <c r="A628" i="14"/>
  <c r="B627" i="14"/>
  <c r="L627" i="14"/>
  <c r="G625" i="14"/>
  <c r="H625" i="14" s="1"/>
  <c r="I625" i="14" s="1"/>
  <c r="K625" i="14" s="1"/>
  <c r="M625" i="14" s="1"/>
  <c r="G626" i="14" l="1"/>
  <c r="H626" i="14" s="1"/>
  <c r="I626" i="14" s="1"/>
  <c r="K626" i="14" s="1"/>
  <c r="M626" i="14" s="1"/>
  <c r="N626" i="14" s="1"/>
  <c r="O626" i="14" s="1"/>
  <c r="P626" i="14" s="1"/>
  <c r="P624" i="14"/>
  <c r="D627" i="14"/>
  <c r="F627" i="14"/>
  <c r="E627" i="14"/>
  <c r="A629" i="14"/>
  <c r="B628" i="14"/>
  <c r="L628" i="14"/>
  <c r="N625" i="14"/>
  <c r="O625" i="14" s="1"/>
  <c r="P625" i="14" s="1"/>
  <c r="G627" i="14" l="1"/>
  <c r="H627" i="14" s="1"/>
  <c r="I627" i="14" s="1"/>
  <c r="K627" i="14" s="1"/>
  <c r="M627" i="14" s="1"/>
  <c r="N627" i="14" s="1"/>
  <c r="O627" i="14" s="1"/>
  <c r="P627" i="14" s="1"/>
  <c r="A630" i="14"/>
  <c r="B629" i="14"/>
  <c r="L629" i="14"/>
  <c r="D628" i="14"/>
  <c r="E628" i="14"/>
  <c r="F628" i="14"/>
  <c r="G628" i="14" l="1"/>
  <c r="H628" i="14" s="1"/>
  <c r="I628" i="14" s="1"/>
  <c r="K628" i="14" s="1"/>
  <c r="M628" i="14" s="1"/>
  <c r="N628" i="14" s="1"/>
  <c r="O628" i="14" s="1"/>
  <c r="D629" i="14"/>
  <c r="F629" i="14"/>
  <c r="E629" i="14"/>
  <c r="A631" i="14"/>
  <c r="B630" i="14"/>
  <c r="L630" i="14"/>
  <c r="G629" i="14" l="1"/>
  <c r="H629" i="14" s="1"/>
  <c r="I629" i="14" s="1"/>
  <c r="K629" i="14" s="1"/>
  <c r="M629" i="14" s="1"/>
  <c r="N629" i="14" s="1"/>
  <c r="O629" i="14" s="1"/>
  <c r="P629" i="14" s="1"/>
  <c r="P628" i="14"/>
  <c r="A632" i="14"/>
  <c r="B631" i="14"/>
  <c r="L631" i="14"/>
  <c r="D630" i="14"/>
  <c r="F630" i="14"/>
  <c r="E630" i="14"/>
  <c r="G630" i="14" l="1"/>
  <c r="H630" i="14" s="1"/>
  <c r="I630" i="14" s="1"/>
  <c r="K630" i="14" s="1"/>
  <c r="M630" i="14" s="1"/>
  <c r="N630" i="14" s="1"/>
  <c r="O630" i="14" s="1"/>
  <c r="D631" i="14"/>
  <c r="F631" i="14"/>
  <c r="E631" i="14"/>
  <c r="A633" i="14"/>
  <c r="B632" i="14"/>
  <c r="L632" i="14"/>
  <c r="G631" i="14" l="1"/>
  <c r="H631" i="14" s="1"/>
  <c r="I631" i="14" s="1"/>
  <c r="K631" i="14" s="1"/>
  <c r="M631" i="14" s="1"/>
  <c r="N631" i="14" s="1"/>
  <c r="O631" i="14" s="1"/>
  <c r="P630" i="14"/>
  <c r="D632" i="14"/>
  <c r="F632" i="14"/>
  <c r="E632" i="14"/>
  <c r="A634" i="14"/>
  <c r="B633" i="14"/>
  <c r="L633" i="14"/>
  <c r="G632" i="14" l="1"/>
  <c r="H632" i="14" s="1"/>
  <c r="I632" i="14" s="1"/>
  <c r="K632" i="14" s="1"/>
  <c r="M632" i="14" s="1"/>
  <c r="N632" i="14" s="1"/>
  <c r="O632" i="14" s="1"/>
  <c r="P631" i="14"/>
  <c r="D633" i="14"/>
  <c r="F633" i="14"/>
  <c r="E633" i="14"/>
  <c r="A635" i="14"/>
  <c r="B634" i="14"/>
  <c r="L634" i="14"/>
  <c r="G633" i="14" l="1"/>
  <c r="H633" i="14" s="1"/>
  <c r="I633" i="14" s="1"/>
  <c r="K633" i="14" s="1"/>
  <c r="M633" i="14" s="1"/>
  <c r="N633" i="14" s="1"/>
  <c r="O633" i="14" s="1"/>
  <c r="P632" i="14"/>
  <c r="D634" i="14"/>
  <c r="F634" i="14"/>
  <c r="E634" i="14"/>
  <c r="A636" i="14"/>
  <c r="B635" i="14"/>
  <c r="L635" i="14"/>
  <c r="G634" i="14" l="1"/>
  <c r="H634" i="14" s="1"/>
  <c r="I634" i="14" s="1"/>
  <c r="K634" i="14" s="1"/>
  <c r="M634" i="14" s="1"/>
  <c r="N634" i="14" s="1"/>
  <c r="O634" i="14" s="1"/>
  <c r="P633" i="14"/>
  <c r="D635" i="14"/>
  <c r="E635" i="14"/>
  <c r="F635" i="14"/>
  <c r="A637" i="14"/>
  <c r="B636" i="14"/>
  <c r="L636" i="14"/>
  <c r="P634" i="14" l="1"/>
  <c r="G635" i="14"/>
  <c r="H635" i="14" s="1"/>
  <c r="I635" i="14" s="1"/>
  <c r="K635" i="14" s="1"/>
  <c r="M635" i="14" s="1"/>
  <c r="N635" i="14" s="1"/>
  <c r="O635" i="14" s="1"/>
  <c r="D636" i="14"/>
  <c r="F636" i="14"/>
  <c r="E636" i="14"/>
  <c r="A638" i="14"/>
  <c r="B637" i="14"/>
  <c r="L637" i="14"/>
  <c r="G636" i="14" l="1"/>
  <c r="H636" i="14" s="1"/>
  <c r="I636" i="14" s="1"/>
  <c r="K636" i="14" s="1"/>
  <c r="M636" i="14" s="1"/>
  <c r="N636" i="14" s="1"/>
  <c r="O636" i="14" s="1"/>
  <c r="P636" i="14" s="1"/>
  <c r="P635" i="14"/>
  <c r="D637" i="14"/>
  <c r="F637" i="14"/>
  <c r="E637" i="14"/>
  <c r="A639" i="14"/>
  <c r="B638" i="14"/>
  <c r="L638" i="14"/>
  <c r="G637" i="14" l="1"/>
  <c r="H637" i="14" s="1"/>
  <c r="I637" i="14" s="1"/>
  <c r="K637" i="14" s="1"/>
  <c r="M637" i="14" s="1"/>
  <c r="N637" i="14" s="1"/>
  <c r="O637" i="14" s="1"/>
  <c r="D638" i="14"/>
  <c r="F638" i="14"/>
  <c r="E638" i="14"/>
  <c r="A640" i="14"/>
  <c r="B639" i="14"/>
  <c r="L639" i="14"/>
  <c r="G638" i="14" l="1"/>
  <c r="H638" i="14" s="1"/>
  <c r="I638" i="14" s="1"/>
  <c r="K638" i="14" s="1"/>
  <c r="M638" i="14" s="1"/>
  <c r="N638" i="14" s="1"/>
  <c r="O638" i="14" s="1"/>
  <c r="P637" i="14"/>
  <c r="D639" i="14"/>
  <c r="F639" i="14"/>
  <c r="E639" i="14"/>
  <c r="A641" i="14"/>
  <c r="B640" i="14"/>
  <c r="L640" i="14"/>
  <c r="G639" i="14" l="1"/>
  <c r="H639" i="14" s="1"/>
  <c r="I639" i="14" s="1"/>
  <c r="K639" i="14" s="1"/>
  <c r="M639" i="14" s="1"/>
  <c r="N639" i="14" s="1"/>
  <c r="O639" i="14" s="1"/>
  <c r="P639" i="14" s="1"/>
  <c r="P638" i="14"/>
  <c r="D640" i="14"/>
  <c r="F640" i="14"/>
  <c r="E640" i="14"/>
  <c r="B641" i="14"/>
  <c r="L641" i="14"/>
  <c r="G640" i="14" l="1"/>
  <c r="H640" i="14" s="1"/>
  <c r="I640" i="14" s="1"/>
  <c r="K640" i="14" s="1"/>
  <c r="M640" i="14" s="1"/>
  <c r="D641" i="14"/>
  <c r="F641" i="14"/>
  <c r="E641" i="14"/>
  <c r="N640" i="14" l="1"/>
  <c r="O640" i="14" s="1"/>
  <c r="P640" i="14" s="1"/>
  <c r="G641" i="14"/>
  <c r="H641" i="14" s="1"/>
  <c r="I641" i="14" s="1"/>
  <c r="K641" i="14" s="1"/>
  <c r="M641" i="14" s="1"/>
  <c r="N641" i="14" s="1"/>
  <c r="O641" i="14" s="1"/>
  <c r="P641" i="14" s="1"/>
</calcChain>
</file>

<file path=xl/sharedStrings.xml><?xml version="1.0" encoding="utf-8"?>
<sst xmlns="http://schemas.openxmlformats.org/spreadsheetml/2006/main" count="397" uniqueCount="296">
  <si>
    <t>Nominal Input Voltage</t>
  </si>
  <si>
    <t>Output Voltage</t>
  </si>
  <si>
    <t>Output Current</t>
  </si>
  <si>
    <t>Switching Frequency (kHz)</t>
  </si>
  <si>
    <t xml:space="preserve">VSEL  </t>
  </si>
  <si>
    <t>RFBT  (kΩ)</t>
  </si>
  <si>
    <t>RFBB   (kΩ)</t>
  </si>
  <si>
    <t>CVCC  (µF)</t>
  </si>
  <si>
    <t>CBOOT  (µF)</t>
  </si>
  <si>
    <t>CIN-HF  (µF)</t>
  </si>
  <si>
    <t>Actual Inductance used  (µH)</t>
  </si>
  <si>
    <t>CIN  (µF)</t>
  </si>
  <si>
    <t>UPDATE BASED ON CALCULATED INDUCTANCE</t>
  </si>
  <si>
    <t>Peak Inductor Current (A)</t>
  </si>
  <si>
    <t>Valley Inductor Current (A)</t>
  </si>
  <si>
    <t>Inductor Current Ripple (A)</t>
  </si>
  <si>
    <t>Cout</t>
  </si>
  <si>
    <t>1.5A</t>
  </si>
  <si>
    <t>m</t>
  </si>
  <si>
    <t>Vr</t>
  </si>
  <si>
    <t>L</t>
  </si>
  <si>
    <t>Fx</t>
  </si>
  <si>
    <t>PM</t>
  </si>
  <si>
    <t>2.5A/3.25A</t>
  </si>
  <si>
    <t>Data sheet base values with assumed de-rate</t>
  </si>
  <si>
    <t>uF</t>
  </si>
  <si>
    <t>Cout 2.5A/3.25A : &gt;=5V</t>
  </si>
  <si>
    <t>Cout 1.5A : &gt;=5V</t>
  </si>
  <si>
    <t>Cout 2.5A/3.25A : &lt;=3.3V</t>
  </si>
  <si>
    <t>Cout 1.5A : &lt;=3.3V</t>
  </si>
  <si>
    <t>C2100</t>
  </si>
  <si>
    <t>C400</t>
  </si>
  <si>
    <t>&lt;=3.3V</t>
  </si>
  <si>
    <t>&gt;=5V</t>
  </si>
  <si>
    <t>High side Ilimit</t>
  </si>
  <si>
    <t>Low side Ilimit</t>
  </si>
  <si>
    <t>peak</t>
  </si>
  <si>
    <t>delta I</t>
  </si>
  <si>
    <t>valley</t>
  </si>
  <si>
    <t>CoutAL</t>
  </si>
  <si>
    <t>ESR</t>
  </si>
  <si>
    <t>*********************  shin reef *******************************</t>
  </si>
  <si>
    <t>Gm</t>
  </si>
  <si>
    <t>mc</t>
  </si>
  <si>
    <t>A0</t>
  </si>
  <si>
    <t>T0</t>
  </si>
  <si>
    <t>Tz</t>
  </si>
  <si>
    <t>T2</t>
  </si>
  <si>
    <t>Tfz</t>
  </si>
  <si>
    <t>A2</t>
  </si>
  <si>
    <t>B2</t>
  </si>
  <si>
    <t>Tpara</t>
  </si>
  <si>
    <t>Tffz</t>
  </si>
  <si>
    <t>external CFF zero</t>
  </si>
  <si>
    <t>***************************************************************</t>
  </si>
  <si>
    <t>alpha</t>
  </si>
  <si>
    <t>D</t>
  </si>
  <si>
    <t>D'</t>
  </si>
  <si>
    <t>m2</t>
  </si>
  <si>
    <t>ro</t>
  </si>
  <si>
    <t>RL</t>
  </si>
  <si>
    <t>R</t>
  </si>
  <si>
    <t>To</t>
  </si>
  <si>
    <t>Cs</t>
  </si>
  <si>
    <t>A</t>
  </si>
  <si>
    <t>B</t>
  </si>
  <si>
    <t>C</t>
  </si>
  <si>
    <t>Rp</t>
  </si>
  <si>
    <t>********************************************************************</t>
  </si>
  <si>
    <t>Crossover frequency</t>
  </si>
  <si>
    <t>Px</t>
  </si>
  <si>
    <t>Phase at crossover</t>
  </si>
  <si>
    <t>Phase Margin</t>
  </si>
  <si>
    <t>Frequency</t>
  </si>
  <si>
    <t>Radians</t>
  </si>
  <si>
    <t>real3</t>
  </si>
  <si>
    <t>imag3</t>
  </si>
  <si>
    <t>3rd</t>
  </si>
  <si>
    <t>Magnitude</t>
  </si>
  <si>
    <t>phase 3rd</t>
  </si>
  <si>
    <t>phase Tz</t>
  </si>
  <si>
    <t>phase Tfz</t>
  </si>
  <si>
    <t>phase Tffz</t>
  </si>
  <si>
    <t>phaseT0</t>
  </si>
  <si>
    <t>phasepT2</t>
  </si>
  <si>
    <t>phase 2nd</t>
  </si>
  <si>
    <t>phasepTpara</t>
  </si>
  <si>
    <t>Phase</t>
  </si>
  <si>
    <t>Intermediate calcs</t>
  </si>
  <si>
    <t>*********************************************************************</t>
  </si>
  <si>
    <t>F1</t>
  </si>
  <si>
    <t>F2</t>
  </si>
  <si>
    <t>T1</t>
  </si>
  <si>
    <t>P1</t>
  </si>
  <si>
    <t>P2</t>
  </si>
  <si>
    <t>mp</t>
  </si>
  <si>
    <t>5V</t>
  </si>
  <si>
    <t>3.3V</t>
  </si>
  <si>
    <t>ADJ</t>
  </si>
  <si>
    <t>Rfb1</t>
  </si>
  <si>
    <t>Rfb2</t>
  </si>
  <si>
    <t>Rfb3</t>
  </si>
  <si>
    <t>open</t>
  </si>
  <si>
    <t>Rfb4</t>
  </si>
  <si>
    <t>CFF  (internal)</t>
  </si>
  <si>
    <t>Camp</t>
  </si>
  <si>
    <t>C_fltr</t>
  </si>
  <si>
    <t>*******************************************************************</t>
  </si>
  <si>
    <t>Fsw</t>
  </si>
  <si>
    <t>CoutCerm</t>
  </si>
  <si>
    <t>RFBT</t>
  </si>
  <si>
    <t>RFBB</t>
  </si>
  <si>
    <t>Power stage Gm</t>
  </si>
  <si>
    <t>Corrective ramp slope at inductor</t>
  </si>
  <si>
    <t>Error amp DC gain</t>
  </si>
  <si>
    <t>Type II comp dominant pole</t>
  </si>
  <si>
    <t>Type II comp dominant zero</t>
  </si>
  <si>
    <t>Type II comp HF pole</t>
  </si>
  <si>
    <t>Internal feed-forward zero</t>
  </si>
  <si>
    <t>C2</t>
  </si>
  <si>
    <t>Error amp parasitic network pole</t>
  </si>
  <si>
    <t>FB divider pole parameter</t>
  </si>
  <si>
    <t>Cout_total</t>
  </si>
  <si>
    <t>****************************************************************</t>
  </si>
  <si>
    <t>Zero from Al ESR</t>
  </si>
  <si>
    <t>Pole from cerm Co and Al ESR</t>
  </si>
  <si>
    <t>CFFe (external)</t>
  </si>
  <si>
    <t>T_CFFe</t>
  </si>
  <si>
    <t>T_CFF</t>
  </si>
  <si>
    <t>real3_FB</t>
  </si>
  <si>
    <t>imag3_FB</t>
  </si>
  <si>
    <t>3rd_FB</t>
  </si>
  <si>
    <t>Tesrzero</t>
  </si>
  <si>
    <t>Tesrpole</t>
  </si>
  <si>
    <t>phaseESRzero</t>
  </si>
  <si>
    <t>phaseESRpole</t>
  </si>
  <si>
    <t>TESR</t>
  </si>
  <si>
    <t>TCESR</t>
  </si>
  <si>
    <t>UPDATE BASED ON CALCULATED CAPACITANCE</t>
  </si>
  <si>
    <t>Calculated Minimum Inductance  (µH)</t>
  </si>
  <si>
    <t>Calculated Output Capacitance  (µF)</t>
  </si>
  <si>
    <t>Calculated Minimum Output Capacitance  (µF)</t>
  </si>
  <si>
    <t>Actual Output Capacitance used  (µF)</t>
  </si>
  <si>
    <t>calc CFFe</t>
  </si>
  <si>
    <t>CFFe</t>
  </si>
  <si>
    <t>Calculated Feed-forward Capacitance  (pF)</t>
  </si>
  <si>
    <t>Al. Electrolytic Output Capacitance (if used)  (µF)</t>
  </si>
  <si>
    <t>RT   (kΩ)</t>
  </si>
  <si>
    <t>Loop Gain Crossover Frequency (kHz)</t>
  </si>
  <si>
    <t>Loop Gain Phase Margin  (°)</t>
  </si>
  <si>
    <t>Actual Feed-forward capacitance (if used)  (pF)</t>
  </si>
  <si>
    <t>Current rating</t>
  </si>
  <si>
    <t>Device Number</t>
  </si>
  <si>
    <t>R1</t>
  </si>
  <si>
    <t>R2</t>
  </si>
  <si>
    <t>R3</t>
  </si>
  <si>
    <t>Co</t>
  </si>
  <si>
    <t>Third order coefficients</t>
  </si>
  <si>
    <t>d1</t>
  </si>
  <si>
    <t>Second order coefficients</t>
  </si>
  <si>
    <t>d2</t>
  </si>
  <si>
    <t>First order time constant</t>
  </si>
  <si>
    <t>******************************************************</t>
  </si>
  <si>
    <t>Added Phase Lag vs. Frequency</t>
  </si>
  <si>
    <t>Frequency (Hz)</t>
  </si>
  <si>
    <r>
      <t>3rd Order (</t>
    </r>
    <r>
      <rPr>
        <b/>
        <sz val="11"/>
        <color theme="1"/>
        <rFont val="Calibri"/>
        <family val="2"/>
      </rPr>
      <t>°)</t>
    </r>
  </si>
  <si>
    <r>
      <t>2nd Order (</t>
    </r>
    <r>
      <rPr>
        <b/>
        <sz val="11"/>
        <color theme="1"/>
        <rFont val="Calibri"/>
        <family val="2"/>
      </rPr>
      <t>°)</t>
    </r>
  </si>
  <si>
    <r>
      <t>1st Order (</t>
    </r>
    <r>
      <rPr>
        <b/>
        <sz val="11"/>
        <color theme="1"/>
        <rFont val="Calibri"/>
        <family val="2"/>
      </rPr>
      <t>°)</t>
    </r>
  </si>
  <si>
    <t>***************************************************************************</t>
  </si>
  <si>
    <t>Freq</t>
  </si>
  <si>
    <t>w</t>
  </si>
  <si>
    <t>real2</t>
  </si>
  <si>
    <t>im2</t>
  </si>
  <si>
    <t>mag2</t>
  </si>
  <si>
    <t>phase2</t>
  </si>
  <si>
    <t>im3</t>
  </si>
  <si>
    <t>mag3</t>
  </si>
  <si>
    <t>phase3</t>
  </si>
  <si>
    <t>correct phase3</t>
  </si>
  <si>
    <t>real1st</t>
  </si>
  <si>
    <t>im1st</t>
  </si>
  <si>
    <t>mag1st</t>
  </si>
  <si>
    <t>phase1st</t>
  </si>
  <si>
    <t>******************************************************************</t>
  </si>
  <si>
    <t>Rated Current Fudge</t>
  </si>
  <si>
    <t>Leave at 1.0</t>
  </si>
  <si>
    <t>DONT TOUCH</t>
  </si>
  <si>
    <t>Enter @ right</t>
  </si>
  <si>
    <t>Vatche'</t>
  </si>
  <si>
    <t>See notes for details of this calculation tab</t>
  </si>
  <si>
    <t>Input Specifications</t>
  </si>
  <si>
    <t>Inductor Calculations</t>
  </si>
  <si>
    <t>Output Capacitor Calculations</t>
  </si>
  <si>
    <t>Feed-forward Capacitor Calculations</t>
  </si>
  <si>
    <t>Feed-back Divider Resistors</t>
  </si>
  <si>
    <t>Auxiliary Components and Connections</t>
  </si>
  <si>
    <t>Current Limit Calculations</t>
  </si>
  <si>
    <t xml:space="preserve">Calculated Inductance  (µH)  </t>
  </si>
  <si>
    <t>Vin min</t>
  </si>
  <si>
    <t>Vin max op</t>
  </si>
  <si>
    <t>Ton min</t>
  </si>
  <si>
    <t>Toff min</t>
  </si>
  <si>
    <t>Ton max</t>
  </si>
  <si>
    <t>Dmin</t>
  </si>
  <si>
    <t>Dmax freq</t>
  </si>
  <si>
    <t>Dmax drop</t>
  </si>
  <si>
    <t>Vin max</t>
  </si>
  <si>
    <t>RHS</t>
  </si>
  <si>
    <t>RLS</t>
  </si>
  <si>
    <t>Vin min freq</t>
  </si>
  <si>
    <t>Vin min drop</t>
  </si>
  <si>
    <t>Input Voltage Range</t>
  </si>
  <si>
    <t>Inductor DC Resistance  (mΩ)</t>
  </si>
  <si>
    <t>Maximum Input for Full Frequency (V)</t>
  </si>
  <si>
    <t>Minimum Input for Full Frequency (V)</t>
  </si>
  <si>
    <t>Minimum Input for Regulation (V)</t>
  </si>
  <si>
    <t>Al. Electrolytic ESR (if used)  (mΩ)</t>
  </si>
  <si>
    <t>Estimated Loop Performance</t>
  </si>
  <si>
    <t>Input Cells</t>
  </si>
  <si>
    <t>Results</t>
  </si>
  <si>
    <t>ADJ 1Vout</t>
  </si>
  <si>
    <t>Inductor Current Ripple Factor</t>
  </si>
  <si>
    <t>This is the maximum input voltage before the switching frequency will drop because of minimum on-time restrictions.</t>
  </si>
  <si>
    <t>This is the minimum input voltage before the switching frequency will drop because of minimum off-time restrictions</t>
  </si>
  <si>
    <t>This is the minimum input voltage before the output voltage falls out of regulation. (drop-out)</t>
  </si>
  <si>
    <t>LM63615Q</t>
  </si>
  <si>
    <t>LM63625Q</t>
  </si>
  <si>
    <t>LM63635Q</t>
  </si>
  <si>
    <t>Inductance calc</t>
  </si>
  <si>
    <t>Min inductance</t>
  </si>
  <si>
    <t>Suggested inductance</t>
  </si>
  <si>
    <t>Revision</t>
  </si>
  <si>
    <t>Date</t>
  </si>
  <si>
    <t>Comments</t>
  </si>
  <si>
    <t>Initial release</t>
  </si>
  <si>
    <t>April 4, 2020</t>
  </si>
  <si>
    <t>A1</t>
  </si>
  <si>
    <t>April 17, 2020</t>
  </si>
  <si>
    <t>Update to error flags for Vin,Vout, Iout, and frequency.  Added 3uA of load current to allow 0A load calc.</t>
  </si>
  <si>
    <t>E</t>
  </si>
  <si>
    <t>F</t>
  </si>
  <si>
    <t>Mv</t>
  </si>
  <si>
    <t>Bv</t>
  </si>
  <si>
    <t>Mp</t>
  </si>
  <si>
    <t>Bp</t>
  </si>
  <si>
    <t>K1</t>
  </si>
  <si>
    <t>Iout</t>
  </si>
  <si>
    <t>PFM_Fsw</t>
  </si>
  <si>
    <t>Ipeak_min</t>
  </si>
  <si>
    <t>Ipk_w_Tonmin</t>
  </si>
  <si>
    <t>True Ipk</t>
  </si>
  <si>
    <t>Ton_PFM</t>
  </si>
  <si>
    <t>Toff_PFM</t>
  </si>
  <si>
    <t>Ton foldback?</t>
  </si>
  <si>
    <t>MODE</t>
  </si>
  <si>
    <t>K2</t>
  </si>
  <si>
    <t>CCM_Fsw</t>
  </si>
  <si>
    <t>K3</t>
  </si>
  <si>
    <t>K4</t>
  </si>
  <si>
    <t>FSW</t>
  </si>
  <si>
    <t>Vin</t>
  </si>
  <si>
    <t>FSW (kHz)</t>
  </si>
  <si>
    <t>Rload</t>
  </si>
  <si>
    <t>Vout'</t>
  </si>
  <si>
    <t>Iout'</t>
  </si>
  <si>
    <t>K6</t>
  </si>
  <si>
    <t>Delta I'</t>
  </si>
  <si>
    <t>I1</t>
  </si>
  <si>
    <t>I2</t>
  </si>
  <si>
    <t>I3</t>
  </si>
  <si>
    <t>a</t>
  </si>
  <si>
    <t>b</t>
  </si>
  <si>
    <t>c</t>
  </si>
  <si>
    <t>vo3</t>
  </si>
  <si>
    <t>di3</t>
  </si>
  <si>
    <t>i3v</t>
  </si>
  <si>
    <t>Inductor Current Calculations</t>
  </si>
  <si>
    <t>Flag mode</t>
  </si>
  <si>
    <t>modeX</t>
  </si>
  <si>
    <t>May 28, 2020</t>
  </si>
  <si>
    <t>Added frequency fold-back with load, drop-out and Ton-min.  Added current limit performance.</t>
  </si>
  <si>
    <t>June, 17 2020</t>
  </si>
  <si>
    <t>Fixed flag for Vout&lt;1</t>
  </si>
  <si>
    <t>Output Current Limit (A)</t>
  </si>
  <si>
    <t>Short Circuit Output Current (A)</t>
  </si>
  <si>
    <t>Frequency Fold-back Output Current (A)</t>
  </si>
  <si>
    <t>Maximum output current before output drops out of regulation</t>
  </si>
  <si>
    <t>Output current with output shorted</t>
  </si>
  <si>
    <t>Output current when frequency fold-back occurs</t>
  </si>
  <si>
    <t>A3</t>
  </si>
  <si>
    <t>A4</t>
  </si>
  <si>
    <t>July, 24 2020</t>
  </si>
  <si>
    <t>Update to current limit presentation.</t>
  </si>
  <si>
    <t>A5</t>
  </si>
  <si>
    <t>May, 7 2021</t>
  </si>
  <si>
    <t>Added note about combined modes in "Instructions"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</si>
</sst>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0.0000E+00"/>
    <numFmt numFmtId="167" formatCode="0.00000E+00"/>
    <numFmt numFmtId="168" formatCode="#,##0.0"/>
    <numFmt numFmtId="169" formatCode="0.000E+00"/>
    <numFmt numFmtId="170" formatCode="0.0000"/>
    <numFmt numFmtId="171" formatCode="0.00000"/>
  </numFmts>
  <fonts count="33"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1"/>
    </font>
    <font>
      <b/>
      <sz val="12"/>
      <color theme="1"/>
      <name val="Times New Roman"/>
      <family val="1"/>
    </font>
    <font>
      <sz val="12"/>
      <color theme="1"/>
      <name val="Times New Roman"/>
      <family val="2"/>
    </font>
    <font>
      <b/>
      <sz val="12"/>
      <color rgb="FFFF0000"/>
      <name val="Times New Roman"/>
      <family val="1"/>
    </font>
    <font>
      <i/>
      <sz val="12"/>
      <color theme="1"/>
      <name val="Times New Roman"/>
      <family val="1"/>
    </font>
    <font>
      <b/>
      <sz val="11"/>
      <color theme="1"/>
      <name val="Calibri"/>
      <family val="2"/>
      <scheme val="minor"/>
    </font>
    <font>
      <i/>
      <sz val="11"/>
      <color theme="1"/>
      <name val="Calibri"/>
      <family val="2"/>
      <scheme val="minor"/>
    </font>
    <font>
      <b/>
      <sz val="12"/>
      <color theme="1"/>
      <name val="Calibri"/>
      <family val="2"/>
      <scheme val="minor"/>
    </font>
    <font>
      <b/>
      <sz val="12"/>
      <color theme="1"/>
      <name val="Times New Roman"/>
      <family val="2"/>
    </font>
    <font>
      <b/>
      <sz val="11"/>
      <color theme="1"/>
      <name val="Calibri"/>
      <family val="2"/>
    </font>
    <font>
      <b/>
      <sz val="14"/>
      <color rgb="FF0070C0"/>
      <name val="Arial"/>
      <family val="2"/>
    </font>
    <font>
      <sz val="12"/>
      <color theme="1"/>
      <name val="Arial"/>
      <family val="2"/>
    </font>
    <font>
      <b/>
      <sz val="12"/>
      <color theme="1"/>
      <name val="Arial"/>
      <family val="2"/>
    </font>
    <font>
      <i/>
      <sz val="12"/>
      <color theme="1"/>
      <name val="Arial"/>
      <family val="2"/>
    </font>
    <font>
      <sz val="12"/>
      <color theme="0" tint="-0.14996795556505021"/>
      <name val="Arial"/>
      <family val="2"/>
    </font>
    <font>
      <b/>
      <sz val="12"/>
      <color rgb="FFFF0000"/>
      <name val="Arial"/>
      <family val="2"/>
    </font>
    <font>
      <sz val="16"/>
      <color theme="1"/>
      <name val="Times New Roman"/>
      <family val="2"/>
    </font>
    <font>
      <sz val="18"/>
      <color theme="1"/>
      <name val="Times New Roman"/>
      <family val="2"/>
    </font>
    <font>
      <u/>
      <sz val="12"/>
      <color theme="10"/>
      <name val="Times New Roman"/>
      <family val="2"/>
    </font>
    <font>
      <b/>
      <sz val="12"/>
      <name val="Times New Roman"/>
      <family val="1"/>
    </font>
    <font>
      <sz val="12"/>
      <name val="Times New Roman"/>
      <family val="1"/>
    </font>
    <font>
      <sz val="12"/>
      <name val="Times New Roman"/>
      <family val="2"/>
    </font>
  </fonts>
  <fills count="8">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00B0F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thin">
        <color auto="1"/>
      </bottom>
      <diagonal/>
    </border>
    <border>
      <left style="medium">
        <color indexed="64"/>
      </left>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style="thin">
        <color auto="1"/>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s>
  <cellStyleXfs count="8">
    <xf numFmtId="0" fontId="0" fillId="0" borderId="0"/>
    <xf numFmtId="0" fontId="13" fillId="0" borderId="0"/>
    <xf numFmtId="0" fontId="10" fillId="0" borderId="0"/>
    <xf numFmtId="0" fontId="9" fillId="0" borderId="0"/>
    <xf numFmtId="0" fontId="3" fillId="0" borderId="0"/>
    <xf numFmtId="0" fontId="3" fillId="0" borderId="0"/>
    <xf numFmtId="0" fontId="1" fillId="0" borderId="0"/>
    <xf numFmtId="0" fontId="29" fillId="0" borderId="0" applyNumberFormat="0" applyFill="0" applyBorder="0" applyAlignment="0" applyProtection="0"/>
  </cellStyleXfs>
  <cellXfs count="176">
    <xf numFmtId="0" fontId="0" fillId="0" borderId="0" xfId="0"/>
    <xf numFmtId="0" fontId="0" fillId="0" borderId="0" xfId="0" applyAlignment="1">
      <alignment vertical="center"/>
    </xf>
    <xf numFmtId="166" fontId="0" fillId="0" borderId="0" xfId="0" applyNumberFormat="1" applyAlignment="1">
      <alignment vertical="center"/>
    </xf>
    <xf numFmtId="11" fontId="0" fillId="0" borderId="0" xfId="0" applyNumberFormat="1" applyAlignment="1">
      <alignment vertical="center"/>
    </xf>
    <xf numFmtId="167" fontId="0" fillId="0" borderId="0" xfId="0" applyNumberFormat="1" applyAlignment="1">
      <alignment vertical="center"/>
    </xf>
    <xf numFmtId="0" fontId="13" fillId="0" borderId="0" xfId="1"/>
    <xf numFmtId="164" fontId="13" fillId="0" borderId="0" xfId="1" applyNumberFormat="1"/>
    <xf numFmtId="0" fontId="14" fillId="0" borderId="0" xfId="1" applyFont="1"/>
    <xf numFmtId="0" fontId="12" fillId="0" borderId="0" xfId="1" applyFont="1"/>
    <xf numFmtId="0" fontId="15" fillId="0" borderId="0" xfId="1" applyFont="1"/>
    <xf numFmtId="164" fontId="0" fillId="0" borderId="0" xfId="1" applyNumberFormat="1" applyFont="1"/>
    <xf numFmtId="14" fontId="13" fillId="0" borderId="0" xfId="1" applyNumberFormat="1"/>
    <xf numFmtId="0" fontId="9" fillId="0" borderId="0" xfId="3"/>
    <xf numFmtId="11" fontId="9" fillId="0" borderId="0" xfId="3" applyNumberFormat="1"/>
    <xf numFmtId="0" fontId="17" fillId="0" borderId="0" xfId="3" applyFont="1"/>
    <xf numFmtId="166" fontId="9" fillId="0" borderId="0" xfId="3" applyNumberFormat="1"/>
    <xf numFmtId="164" fontId="9" fillId="0" borderId="0" xfId="3" applyNumberFormat="1"/>
    <xf numFmtId="0" fontId="9" fillId="0" borderId="1" xfId="3" applyBorder="1"/>
    <xf numFmtId="11" fontId="9" fillId="4" borderId="1" xfId="3" applyNumberFormat="1" applyFill="1" applyBorder="1"/>
    <xf numFmtId="11" fontId="9" fillId="0" borderId="1" xfId="3" applyNumberFormat="1" applyBorder="1"/>
    <xf numFmtId="0" fontId="9" fillId="0" borderId="1" xfId="3" applyFill="1" applyBorder="1"/>
    <xf numFmtId="0" fontId="9" fillId="0" borderId="0" xfId="3" applyFill="1" applyBorder="1"/>
    <xf numFmtId="0" fontId="9" fillId="2" borderId="1" xfId="3" applyFill="1" applyBorder="1"/>
    <xf numFmtId="164" fontId="9" fillId="2" borderId="1" xfId="3" applyNumberFormat="1" applyFill="1" applyBorder="1"/>
    <xf numFmtId="0" fontId="16" fillId="0" borderId="0" xfId="3" applyFont="1"/>
    <xf numFmtId="0" fontId="18" fillId="3" borderId="1" xfId="3" applyFont="1" applyFill="1" applyBorder="1"/>
    <xf numFmtId="168" fontId="9" fillId="0" borderId="0" xfId="3" applyNumberFormat="1"/>
    <xf numFmtId="2" fontId="9" fillId="0" borderId="0" xfId="3" applyNumberFormat="1"/>
    <xf numFmtId="166" fontId="13" fillId="2" borderId="1" xfId="1" applyNumberFormat="1" applyFill="1" applyBorder="1"/>
    <xf numFmtId="11" fontId="13" fillId="0" borderId="0" xfId="1" applyNumberFormat="1"/>
    <xf numFmtId="166" fontId="13" fillId="0" borderId="0" xfId="1" applyNumberFormat="1"/>
    <xf numFmtId="169" fontId="13" fillId="0" borderId="0" xfId="1" applyNumberFormat="1"/>
    <xf numFmtId="168" fontId="13" fillId="0" borderId="0" xfId="1" applyNumberFormat="1"/>
    <xf numFmtId="0" fontId="8" fillId="0" borderId="0" xfId="3" applyFont="1"/>
    <xf numFmtId="0" fontId="7" fillId="0" borderId="0" xfId="3" applyFont="1"/>
    <xf numFmtId="0" fontId="0" fillId="0" borderId="0" xfId="1" applyFont="1"/>
    <xf numFmtId="166" fontId="13" fillId="6" borderId="1" xfId="1" applyNumberFormat="1" applyFill="1" applyBorder="1"/>
    <xf numFmtId="0" fontId="13" fillId="6" borderId="1" xfId="1" applyFill="1" applyBorder="1"/>
    <xf numFmtId="11" fontId="13" fillId="6" borderId="1" xfId="1" applyNumberFormat="1" applyFill="1" applyBorder="1"/>
    <xf numFmtId="0" fontId="7" fillId="0" borderId="1" xfId="3" applyFont="1" applyFill="1" applyBorder="1"/>
    <xf numFmtId="0" fontId="6" fillId="0" borderId="0" xfId="3" applyFont="1"/>
    <xf numFmtId="0" fontId="5" fillId="0" borderId="0" xfId="3" applyFont="1"/>
    <xf numFmtId="0" fontId="4" fillId="0" borderId="0" xfId="3" applyFont="1"/>
    <xf numFmtId="0" fontId="5" fillId="0" borderId="1" xfId="3" applyFont="1" applyBorder="1"/>
    <xf numFmtId="14" fontId="11" fillId="0" borderId="0" xfId="4" applyNumberFormat="1" applyFont="1"/>
    <xf numFmtId="0" fontId="3" fillId="0" borderId="0" xfId="4"/>
    <xf numFmtId="169" fontId="13" fillId="2" borderId="1" xfId="1" applyNumberFormat="1" applyFill="1" applyBorder="1"/>
    <xf numFmtId="169" fontId="3" fillId="0" borderId="0" xfId="4" applyNumberFormat="1"/>
    <xf numFmtId="169" fontId="13" fillId="3" borderId="1" xfId="1" applyNumberFormat="1" applyFill="1" applyBorder="1"/>
    <xf numFmtId="0" fontId="17" fillId="0" borderId="0" xfId="4" applyFont="1"/>
    <xf numFmtId="0" fontId="13" fillId="0" borderId="0" xfId="1" applyFill="1" applyBorder="1"/>
    <xf numFmtId="169" fontId="3" fillId="3" borderId="1" xfId="4" applyNumberFormat="1" applyFill="1" applyBorder="1"/>
    <xf numFmtId="0" fontId="19" fillId="0" borderId="0" xfId="1" applyFont="1" applyFill="1" applyBorder="1"/>
    <xf numFmtId="0" fontId="16" fillId="0" borderId="0" xfId="4" applyFont="1"/>
    <xf numFmtId="3" fontId="3" fillId="2" borderId="1" xfId="4" applyNumberFormat="1" applyFill="1" applyBorder="1"/>
    <xf numFmtId="2" fontId="3" fillId="3" borderId="1" xfId="4" applyNumberFormat="1" applyFill="1" applyBorder="1"/>
    <xf numFmtId="0" fontId="11" fillId="0" borderId="0" xfId="4" applyFont="1"/>
    <xf numFmtId="0" fontId="3" fillId="7" borderId="0" xfId="4" applyFill="1"/>
    <xf numFmtId="0" fontId="3" fillId="0" borderId="0" xfId="4" applyFill="1"/>
    <xf numFmtId="4" fontId="3" fillId="0" borderId="0" xfId="4" applyNumberFormat="1"/>
    <xf numFmtId="11" fontId="3" fillId="0" borderId="0" xfId="4" applyNumberFormat="1"/>
    <xf numFmtId="0" fontId="2" fillId="0" borderId="0" xfId="3" applyFont="1"/>
    <xf numFmtId="14" fontId="16" fillId="0" borderId="0" xfId="3" applyNumberFormat="1" applyFont="1"/>
    <xf numFmtId="0" fontId="0" fillId="3" borderId="1" xfId="0" applyFill="1" applyBorder="1"/>
    <xf numFmtId="0" fontId="0" fillId="0" borderId="3" xfId="0" applyBorder="1"/>
    <xf numFmtId="0" fontId="0" fillId="0" borderId="5" xfId="0" applyBorder="1"/>
    <xf numFmtId="0" fontId="0" fillId="0" borderId="7" xfId="0" applyBorder="1"/>
    <xf numFmtId="0" fontId="12" fillId="0" borderId="0" xfId="0" applyFont="1"/>
    <xf numFmtId="169" fontId="9" fillId="3" borderId="1" xfId="3" applyNumberFormat="1" applyFill="1" applyBorder="1"/>
    <xf numFmtId="11" fontId="9" fillId="2" borderId="1" xfId="3" applyNumberFormat="1" applyFill="1" applyBorder="1"/>
    <xf numFmtId="14" fontId="12" fillId="0" borderId="0" xfId="0" applyNumberFormat="1" applyFont="1" applyAlignment="1">
      <alignment vertical="center"/>
    </xf>
    <xf numFmtId="0" fontId="21" fillId="0" borderId="0" xfId="0" applyFont="1" applyAlignment="1">
      <alignment vertical="center"/>
    </xf>
    <xf numFmtId="0" fontId="22" fillId="0" borderId="0" xfId="0" applyFont="1" applyAlignment="1">
      <alignment vertical="center"/>
    </xf>
    <xf numFmtId="0" fontId="22" fillId="0" borderId="12" xfId="0" applyFont="1" applyBorder="1"/>
    <xf numFmtId="0" fontId="22" fillId="0" borderId="0" xfId="0" applyFont="1"/>
    <xf numFmtId="0" fontId="22" fillId="0" borderId="12" xfId="0" applyFont="1" applyBorder="1" applyAlignment="1">
      <alignment vertical="center"/>
    </xf>
    <xf numFmtId="2" fontId="22" fillId="3" borderId="16" xfId="0" applyNumberFormat="1" applyFont="1" applyFill="1" applyBorder="1" applyAlignment="1">
      <alignment vertical="center"/>
    </xf>
    <xf numFmtId="0" fontId="22" fillId="0" borderId="17" xfId="0" applyFont="1" applyBorder="1" applyAlignment="1">
      <alignment vertical="center"/>
    </xf>
    <xf numFmtId="2" fontId="22" fillId="3" borderId="2" xfId="0" applyNumberFormat="1" applyFont="1" applyFill="1" applyBorder="1" applyAlignment="1">
      <alignment vertical="center"/>
    </xf>
    <xf numFmtId="0" fontId="23" fillId="4" borderId="15" xfId="0" applyFont="1" applyFill="1" applyBorder="1" applyAlignment="1">
      <alignment vertical="center"/>
    </xf>
    <xf numFmtId="2" fontId="22" fillId="0" borderId="0" xfId="0" applyNumberFormat="1" applyFont="1" applyAlignment="1">
      <alignment vertical="center"/>
    </xf>
    <xf numFmtId="164" fontId="22" fillId="3" borderId="16" xfId="0" applyNumberFormat="1" applyFont="1" applyFill="1" applyBorder="1" applyAlignment="1">
      <alignment vertical="center"/>
    </xf>
    <xf numFmtId="0" fontId="22" fillId="0" borderId="0" xfId="0" applyFont="1" applyBorder="1"/>
    <xf numFmtId="0" fontId="22" fillId="0" borderId="20" xfId="0" applyFont="1" applyBorder="1" applyAlignment="1">
      <alignment vertical="center"/>
    </xf>
    <xf numFmtId="0" fontId="22" fillId="0" borderId="0" xfId="0" applyFont="1" applyBorder="1" applyAlignment="1">
      <alignment vertical="center"/>
    </xf>
    <xf numFmtId="164" fontId="22" fillId="6" borderId="16" xfId="0" applyNumberFormat="1" applyFont="1" applyFill="1" applyBorder="1"/>
    <xf numFmtId="0" fontId="22" fillId="0" borderId="17" xfId="0" applyFont="1" applyBorder="1"/>
    <xf numFmtId="0" fontId="22" fillId="3" borderId="16" xfId="0" applyFont="1" applyFill="1" applyBorder="1" applyAlignment="1">
      <alignment vertical="center"/>
    </xf>
    <xf numFmtId="164" fontId="22" fillId="3" borderId="19" xfId="0" applyNumberFormat="1" applyFont="1" applyFill="1" applyBorder="1" applyAlignment="1">
      <alignment vertical="center"/>
    </xf>
    <xf numFmtId="164" fontId="22" fillId="3" borderId="10" xfId="0" applyNumberFormat="1" applyFont="1" applyFill="1" applyBorder="1" applyAlignment="1">
      <alignment vertical="center"/>
    </xf>
    <xf numFmtId="0" fontId="22" fillId="3" borderId="13" xfId="0" applyFont="1" applyFill="1" applyBorder="1" applyAlignment="1">
      <alignment vertical="center"/>
    </xf>
    <xf numFmtId="0" fontId="22" fillId="3" borderId="15" xfId="0" applyFont="1" applyFill="1" applyBorder="1" applyAlignment="1">
      <alignment vertical="center"/>
    </xf>
    <xf numFmtId="2" fontId="22" fillId="3" borderId="1" xfId="0" applyNumberFormat="1" applyFont="1" applyFill="1" applyBorder="1" applyAlignment="1">
      <alignment vertical="center"/>
    </xf>
    <xf numFmtId="165" fontId="22" fillId="3" borderId="19" xfId="0" applyNumberFormat="1" applyFont="1" applyFill="1" applyBorder="1" applyAlignment="1">
      <alignment vertical="center"/>
    </xf>
    <xf numFmtId="0" fontId="23" fillId="0" borderId="9" xfId="0" applyFont="1" applyBorder="1" applyAlignment="1">
      <alignment vertical="center"/>
    </xf>
    <xf numFmtId="0" fontId="23" fillId="0" borderId="11" xfId="0" applyFont="1" applyBorder="1"/>
    <xf numFmtId="0" fontId="23" fillId="0" borderId="11" xfId="0" applyFont="1" applyBorder="1" applyAlignment="1">
      <alignment vertical="center"/>
    </xf>
    <xf numFmtId="0" fontId="23" fillId="0" borderId="14" xfId="0" applyFont="1" applyBorder="1" applyAlignment="1">
      <alignment vertical="center"/>
    </xf>
    <xf numFmtId="0" fontId="23" fillId="4" borderId="18" xfId="0" applyFont="1" applyFill="1" applyBorder="1" applyAlignment="1">
      <alignment vertical="center"/>
    </xf>
    <xf numFmtId="0" fontId="0" fillId="2" borderId="1" xfId="0" applyFill="1" applyBorder="1"/>
    <xf numFmtId="11" fontId="0" fillId="2" borderId="1" xfId="0" applyNumberFormat="1" applyFill="1" applyBorder="1"/>
    <xf numFmtId="166" fontId="0" fillId="3" borderId="1" xfId="0" applyNumberFormat="1" applyFill="1" applyBorder="1"/>
    <xf numFmtId="2" fontId="0" fillId="3" borderId="1" xfId="0" applyNumberFormat="1" applyFill="1" applyBorder="1"/>
    <xf numFmtId="0" fontId="23" fillId="0" borderId="0" xfId="0" applyFont="1" applyBorder="1" applyAlignment="1">
      <alignment vertical="center"/>
    </xf>
    <xf numFmtId="0" fontId="23" fillId="0" borderId="21" xfId="0" applyFont="1" applyBorder="1" applyAlignment="1">
      <alignment vertical="center"/>
    </xf>
    <xf numFmtId="0" fontId="23" fillId="0" borderId="22" xfId="0" applyFont="1" applyBorder="1" applyAlignment="1">
      <alignment vertical="center"/>
    </xf>
    <xf numFmtId="0" fontId="23" fillId="0" borderId="18" xfId="0" applyFont="1" applyBorder="1" applyAlignment="1">
      <alignment vertical="center"/>
    </xf>
    <xf numFmtId="2" fontId="22" fillId="3" borderId="13" xfId="0" applyNumberFormat="1" applyFont="1" applyFill="1" applyBorder="1"/>
    <xf numFmtId="2" fontId="22" fillId="3" borderId="15" xfId="0" applyNumberFormat="1" applyFont="1" applyFill="1" applyBorder="1"/>
    <xf numFmtId="164" fontId="22" fillId="6" borderId="10" xfId="0" applyNumberFormat="1" applyFont="1" applyFill="1" applyBorder="1" applyAlignment="1">
      <alignment vertical="center"/>
    </xf>
    <xf numFmtId="164" fontId="22" fillId="6" borderId="15" xfId="0" applyNumberFormat="1" applyFont="1" applyFill="1" applyBorder="1" applyAlignment="1">
      <alignment vertical="center"/>
    </xf>
    <xf numFmtId="0" fontId="23" fillId="2" borderId="1" xfId="0" applyFont="1" applyFill="1" applyBorder="1" applyAlignment="1">
      <alignment horizontal="center" vertical="center"/>
    </xf>
    <xf numFmtId="0" fontId="23" fillId="3" borderId="1" xfId="0" applyFont="1" applyFill="1" applyBorder="1" applyAlignment="1">
      <alignment horizontal="center" vertical="center"/>
    </xf>
    <xf numFmtId="0" fontId="13" fillId="3" borderId="1" xfId="1" applyFill="1" applyBorder="1"/>
    <xf numFmtId="11" fontId="13" fillId="3" borderId="1" xfId="1" applyNumberFormat="1" applyFill="1" applyBorder="1"/>
    <xf numFmtId="166" fontId="0" fillId="3" borderId="1" xfId="1" applyNumberFormat="1" applyFont="1" applyFill="1" applyBorder="1"/>
    <xf numFmtId="166" fontId="13" fillId="3" borderId="1" xfId="1" applyNumberFormat="1" applyFill="1" applyBorder="1"/>
    <xf numFmtId="164" fontId="22" fillId="3" borderId="2" xfId="0" applyNumberFormat="1" applyFont="1" applyFill="1" applyBorder="1"/>
    <xf numFmtId="0" fontId="23" fillId="4" borderId="1" xfId="0" applyFont="1" applyFill="1" applyBorder="1" applyAlignment="1">
      <alignment vertical="center"/>
    </xf>
    <xf numFmtId="0" fontId="24" fillId="0" borderId="0" xfId="0" applyFont="1" applyBorder="1" applyAlignment="1">
      <alignment vertical="center" wrapText="1"/>
    </xf>
    <xf numFmtId="0" fontId="25" fillId="0" borderId="0" xfId="0" applyFont="1" applyAlignment="1">
      <alignment vertical="center"/>
    </xf>
    <xf numFmtId="0" fontId="22" fillId="2" borderId="10" xfId="0" applyFont="1" applyFill="1" applyBorder="1" applyAlignment="1" applyProtection="1">
      <alignment vertical="center"/>
      <protection locked="0"/>
    </xf>
    <xf numFmtId="0" fontId="22" fillId="2" borderId="13" xfId="0" applyFont="1" applyFill="1" applyBorder="1" applyAlignment="1" applyProtection="1">
      <alignment vertical="center"/>
      <protection locked="0"/>
    </xf>
    <xf numFmtId="0" fontId="22" fillId="2" borderId="15" xfId="0" applyFont="1" applyFill="1" applyBorder="1" applyAlignment="1" applyProtection="1">
      <alignment vertical="center"/>
      <protection locked="0"/>
    </xf>
    <xf numFmtId="164" fontId="22" fillId="2" borderId="19" xfId="0" applyNumberFormat="1" applyFont="1" applyFill="1" applyBorder="1" applyAlignment="1" applyProtection="1">
      <alignment vertical="center"/>
      <protection locked="0"/>
    </xf>
    <xf numFmtId="164" fontId="22" fillId="2" borderId="1" xfId="0" applyNumberFormat="1" applyFont="1" applyFill="1" applyBorder="1" applyAlignment="1" applyProtection="1">
      <alignment vertical="center"/>
      <protection locked="0"/>
    </xf>
    <xf numFmtId="1" fontId="22" fillId="2" borderId="1" xfId="0" applyNumberFormat="1" applyFont="1" applyFill="1" applyBorder="1" applyAlignment="1" applyProtection="1">
      <alignment vertical="center"/>
      <protection locked="0"/>
    </xf>
    <xf numFmtId="0" fontId="22" fillId="5" borderId="10" xfId="0" applyFont="1" applyFill="1" applyBorder="1" applyAlignment="1" applyProtection="1">
      <alignment horizontal="left" vertical="center"/>
      <protection locked="0"/>
    </xf>
    <xf numFmtId="0" fontId="22" fillId="2" borderId="19" xfId="0" applyFont="1" applyFill="1" applyBorder="1" applyProtection="1">
      <protection locked="0"/>
    </xf>
    <xf numFmtId="0" fontId="22" fillId="2" borderId="10" xfId="0" applyFont="1" applyFill="1" applyBorder="1" applyProtection="1">
      <protection locked="0"/>
    </xf>
    <xf numFmtId="169" fontId="0" fillId="3" borderId="1" xfId="0" applyNumberFormat="1" applyFill="1" applyBorder="1"/>
    <xf numFmtId="0" fontId="26" fillId="0" borderId="0" xfId="0" applyFont="1" applyAlignment="1">
      <alignment vertical="center"/>
    </xf>
    <xf numFmtId="0" fontId="0" fillId="0" borderId="11" xfId="0" applyBorder="1"/>
    <xf numFmtId="0" fontId="0" fillId="0" borderId="0" xfId="0" applyBorder="1"/>
    <xf numFmtId="0" fontId="0" fillId="0" borderId="12" xfId="0" applyBorder="1"/>
    <xf numFmtId="0" fontId="28" fillId="2" borderId="21" xfId="0" applyFont="1" applyFill="1" applyBorder="1" applyAlignment="1">
      <alignment horizontal="center" vertical="center"/>
    </xf>
    <xf numFmtId="0" fontId="28" fillId="2" borderId="16" xfId="0" applyFont="1" applyFill="1" applyBorder="1" applyAlignment="1">
      <alignment horizontal="center" vertical="center"/>
    </xf>
    <xf numFmtId="0" fontId="28" fillId="2" borderId="10" xfId="0" applyFont="1" applyFill="1" applyBorder="1" applyAlignment="1">
      <alignment horizontal="center" vertical="center"/>
    </xf>
    <xf numFmtId="49" fontId="27" fillId="0" borderId="1" xfId="0" quotePrefix="1" applyNumberFormat="1" applyFont="1" applyBorder="1"/>
    <xf numFmtId="49" fontId="27" fillId="0" borderId="1" xfId="0" applyNumberFormat="1" applyFont="1" applyBorder="1"/>
    <xf numFmtId="0" fontId="27" fillId="0" borderId="21" xfId="0" applyFont="1" applyBorder="1"/>
    <xf numFmtId="49" fontId="27" fillId="0" borderId="16" xfId="0" quotePrefix="1" applyNumberFormat="1" applyFont="1" applyBorder="1"/>
    <xf numFmtId="0" fontId="27" fillId="0" borderId="10" xfId="0" applyFont="1" applyBorder="1" applyAlignment="1">
      <alignment vertical="top" wrapText="1"/>
    </xf>
    <xf numFmtId="0" fontId="27" fillId="0" borderId="22" xfId="0" applyFont="1" applyBorder="1"/>
    <xf numFmtId="0" fontId="27" fillId="0" borderId="13" xfId="0" applyFont="1" applyBorder="1" applyAlignment="1">
      <alignment vertical="top" wrapText="1"/>
    </xf>
    <xf numFmtId="0" fontId="27" fillId="0" borderId="13" xfId="0" applyFont="1" applyBorder="1" applyAlignment="1">
      <alignment wrapText="1"/>
    </xf>
    <xf numFmtId="14" fontId="12" fillId="0" borderId="0" xfId="0" applyNumberFormat="1" applyFont="1"/>
    <xf numFmtId="0" fontId="12" fillId="0" borderId="0" xfId="0" applyFont="1" applyAlignment="1">
      <alignment horizontal="center" vertical="center"/>
    </xf>
    <xf numFmtId="165" fontId="0" fillId="3" borderId="1" xfId="0" applyNumberFormat="1" applyFill="1" applyBorder="1"/>
    <xf numFmtId="168" fontId="0" fillId="0" borderId="0" xfId="0" applyNumberFormat="1"/>
    <xf numFmtId="11" fontId="11" fillId="0" borderId="0" xfId="0" applyNumberFormat="1" applyFont="1"/>
    <xf numFmtId="168" fontId="11" fillId="0" borderId="0" xfId="0" applyNumberFormat="1" applyFont="1"/>
    <xf numFmtId="49" fontId="30" fillId="0" borderId="0" xfId="7" applyNumberFormat="1" applyFont="1"/>
    <xf numFmtId="11" fontId="0" fillId="0" borderId="0" xfId="0" applyNumberFormat="1"/>
    <xf numFmtId="49" fontId="31" fillId="0" borderId="0" xfId="7" quotePrefix="1" applyNumberFormat="1" applyFont="1"/>
    <xf numFmtId="49" fontId="0" fillId="0" borderId="0" xfId="0" applyNumberFormat="1" applyAlignment="1">
      <alignment horizontal="center" vertical="center"/>
    </xf>
    <xf numFmtId="4" fontId="0" fillId="0" borderId="0" xfId="0" applyNumberFormat="1"/>
    <xf numFmtId="0" fontId="12" fillId="3" borderId="1" xfId="0" applyFont="1" applyFill="1" applyBorder="1"/>
    <xf numFmtId="2" fontId="0" fillId="0" borderId="0" xfId="0" applyNumberFormat="1"/>
    <xf numFmtId="170" fontId="0" fillId="0" borderId="0" xfId="0" applyNumberFormat="1"/>
    <xf numFmtId="171" fontId="0" fillId="3" borderId="1" xfId="0" applyNumberFormat="1" applyFill="1" applyBorder="1"/>
    <xf numFmtId="165" fontId="0" fillId="0" borderId="0" xfId="0" applyNumberFormat="1"/>
    <xf numFmtId="0" fontId="0" fillId="0" borderId="0" xfId="0" applyNumberFormat="1"/>
    <xf numFmtId="1" fontId="0" fillId="0" borderId="0" xfId="0" applyNumberFormat="1"/>
    <xf numFmtId="0" fontId="32" fillId="3" borderId="1" xfId="0" applyFont="1" applyFill="1" applyBorder="1"/>
    <xf numFmtId="0" fontId="11" fillId="0" borderId="0" xfId="0" applyFont="1"/>
    <xf numFmtId="2" fontId="22" fillId="3" borderId="10" xfId="0" applyNumberFormat="1" applyFont="1" applyFill="1" applyBorder="1" applyAlignment="1">
      <alignment vertical="center"/>
    </xf>
    <xf numFmtId="2" fontId="22" fillId="3" borderId="13" xfId="0" applyNumberFormat="1" applyFont="1" applyFill="1" applyBorder="1" applyAlignment="1">
      <alignment vertical="center"/>
    </xf>
    <xf numFmtId="2" fontId="22" fillId="3" borderId="15" xfId="0" applyNumberFormat="1" applyFont="1" applyFill="1" applyBorder="1" applyAlignment="1">
      <alignment vertical="center"/>
    </xf>
    <xf numFmtId="1" fontId="0" fillId="3" borderId="1" xfId="0" applyNumberFormat="1" applyFill="1" applyBorder="1"/>
    <xf numFmtId="0" fontId="0" fillId="3" borderId="1" xfId="0" applyNumberFormat="1" applyFill="1" applyBorder="1"/>
    <xf numFmtId="0" fontId="24" fillId="0" borderId="0" xfId="0" applyFont="1" applyAlignment="1">
      <alignment vertical="center" wrapText="1"/>
    </xf>
    <xf numFmtId="0" fontId="24" fillId="0" borderId="0" xfId="1" applyFont="1" applyAlignment="1">
      <alignment vertical="center" wrapText="1"/>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cellXfs>
  <cellStyles count="8">
    <cellStyle name="Hyperlink" xfId="7" builtinId="8"/>
    <cellStyle name="Normal" xfId="0" builtinId="0"/>
    <cellStyle name="Normal 2" xfId="1" xr:uid="{00000000-0005-0000-0000-000002000000}"/>
    <cellStyle name="Normal 2 2" xfId="5" xr:uid="{00000000-0005-0000-0000-000003000000}"/>
    <cellStyle name="Normal 3" xfId="2" xr:uid="{00000000-0005-0000-0000-000004000000}"/>
    <cellStyle name="Normal 4" xfId="3" xr:uid="{00000000-0005-0000-0000-000005000000}"/>
    <cellStyle name="Normal 5" xfId="4" xr:uid="{00000000-0005-0000-0000-000006000000}"/>
    <cellStyle name="Normal 6" xfId="6" xr:uid="{00000000-0005-0000-0000-000007000000}"/>
  </cellStyles>
  <dxfs count="5">
    <dxf>
      <font>
        <b/>
        <i val="0"/>
        <color rgb="FFFF0000"/>
      </font>
    </dxf>
    <dxf>
      <font>
        <b/>
        <i val="0"/>
        <color rgb="FFFF0000"/>
      </font>
    </dxf>
    <dxf>
      <fill>
        <patternFill>
          <bgColor theme="1"/>
        </patternFill>
      </fill>
    </dxf>
    <dxf>
      <fill>
        <patternFill>
          <bgColor rgb="FFFFFF00"/>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Bode Plot</a:t>
            </a:r>
          </a:p>
        </c:rich>
      </c:tx>
      <c:overlay val="0"/>
    </c:title>
    <c:autoTitleDeleted val="0"/>
    <c:plotArea>
      <c:layout/>
      <c:scatterChart>
        <c:scatterStyle val="smoothMarker"/>
        <c:varyColors val="0"/>
        <c:ser>
          <c:idx val="0"/>
          <c:order val="0"/>
          <c:tx>
            <c:v>Loop Gain</c:v>
          </c:tx>
          <c:spPr>
            <a:ln>
              <a:solidFill>
                <a:schemeClr val="tx1"/>
              </a:solidFill>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loop_gain!$R$113:$R$203</c:f>
              <c:numCache>
                <c:formatCode>0.00</c:formatCode>
                <c:ptCount val="91"/>
                <c:pt idx="0">
                  <c:v>65.448523013371599</c:v>
                </c:pt>
                <c:pt idx="1">
                  <c:v>65.37440695867771</c:v>
                </c:pt>
                <c:pt idx="2">
                  <c:v>65.272722016612491</c:v>
                </c:pt>
                <c:pt idx="3">
                  <c:v>65.145383729138345</c:v>
                </c:pt>
                <c:pt idx="4">
                  <c:v>64.994647525473439</c:v>
                </c:pt>
                <c:pt idx="5">
                  <c:v>64.822989509615795</c:v>
                </c:pt>
                <c:pt idx="6">
                  <c:v>64.632991722914298</c:v>
                </c:pt>
                <c:pt idx="7">
                  <c:v>64.4272406309899</c:v>
                </c:pt>
                <c:pt idx="8">
                  <c:v>64.208244172601283</c:v>
                </c:pt>
                <c:pt idx="9">
                  <c:v>63.978369434934415</c:v>
                </c:pt>
                <c:pt idx="10">
                  <c:v>63.739800405060471</c:v>
                </c:pt>
                <c:pt idx="11">
                  <c:v>63.4945135020427</c:v>
                </c:pt>
                <c:pt idx="12">
                  <c:v>63.24426768667314</c:v>
                </c:pt>
                <c:pt idx="13">
                  <c:v>62.990605704933394</c:v>
                </c:pt>
                <c:pt idx="14">
                  <c:v>62.734863230090028</c:v>
                </c:pt>
                <c:pt idx="15">
                  <c:v>62.478183126593002</c:v>
                </c:pt>
                <c:pt idx="16">
                  <c:v>62.221532612773835</c:v>
                </c:pt>
                <c:pt idx="17">
                  <c:v>61.9657216471103</c:v>
                </c:pt>
                <c:pt idx="18">
                  <c:v>61.711421347844251</c:v>
                </c:pt>
                <c:pt idx="19">
                  <c:v>59.331020407366175</c:v>
                </c:pt>
                <c:pt idx="20">
                  <c:v>57.310951493811572</c:v>
                </c:pt>
                <c:pt idx="21">
                  <c:v>55.608829722687283</c:v>
                </c:pt>
                <c:pt idx="22">
                  <c:v>54.153878390007222</c:v>
                </c:pt>
                <c:pt idx="23">
                  <c:v>52.888949212629015</c:v>
                </c:pt>
                <c:pt idx="24">
                  <c:v>51.77214420840437</c:v>
                </c:pt>
                <c:pt idx="25">
                  <c:v>50.773002098499369</c:v>
                </c:pt>
                <c:pt idx="26">
                  <c:v>49.869072576637322</c:v>
                </c:pt>
                <c:pt idx="27">
                  <c:v>49.043490348982559</c:v>
                </c:pt>
                <c:pt idx="28">
                  <c:v>48.283336385960794</c:v>
                </c:pt>
                <c:pt idx="29">
                  <c:v>47.578532466013414</c:v>
                </c:pt>
                <c:pt idx="30">
                  <c:v>46.921085542087837</c:v>
                </c:pt>
                <c:pt idx="31">
                  <c:v>46.304561900123602</c:v>
                </c:pt>
                <c:pt idx="32">
                  <c:v>45.723714255008417</c:v>
                </c:pt>
                <c:pt idx="33">
                  <c:v>45.17421239747668</c:v>
                </c:pt>
                <c:pt idx="34">
                  <c:v>44.652445239869095</c:v>
                </c:pt>
                <c:pt idx="35">
                  <c:v>44.155372979808334</c:v>
                </c:pt>
                <c:pt idx="36">
                  <c:v>43.680415047631534</c:v>
                </c:pt>
                <c:pt idx="37">
                  <c:v>39.779546988230692</c:v>
                </c:pt>
                <c:pt idx="38">
                  <c:v>36.795618002869375</c:v>
                </c:pt>
                <c:pt idx="39">
                  <c:v>34.313994694703048</c:v>
                </c:pt>
                <c:pt idx="40">
                  <c:v>32.163045491962976</c:v>
                </c:pt>
                <c:pt idx="41">
                  <c:v>30.256972655777748</c:v>
                </c:pt>
                <c:pt idx="42">
                  <c:v>28.545930814944338</c:v>
                </c:pt>
                <c:pt idx="43">
                  <c:v>26.997133742405651</c:v>
                </c:pt>
                <c:pt idx="44">
                  <c:v>25.586879734724789</c:v>
                </c:pt>
                <c:pt idx="45">
                  <c:v>24.296874932173733</c:v>
                </c:pt>
                <c:pt idx="46">
                  <c:v>23.112381172189952</c:v>
                </c:pt>
                <c:pt idx="47">
                  <c:v>22.021191602225034</c:v>
                </c:pt>
                <c:pt idx="48">
                  <c:v>21.013009005026497</c:v>
                </c:pt>
                <c:pt idx="49">
                  <c:v>20.079035779002421</c:v>
                </c:pt>
                <c:pt idx="50">
                  <c:v>19.211684667870486</c:v>
                </c:pt>
                <c:pt idx="51">
                  <c:v>18.404364109149533</c:v>
                </c:pt>
                <c:pt idx="52">
                  <c:v>17.651313065401496</c:v>
                </c:pt>
                <c:pt idx="53">
                  <c:v>16.947470596968877</c:v>
                </c:pt>
                <c:pt idx="54">
                  <c:v>16.288370908904604</c:v>
                </c:pt>
                <c:pt idx="55">
                  <c:v>11.465845858842641</c:v>
                </c:pt>
                <c:pt idx="56">
                  <c:v>8.5570699269496906</c:v>
                </c:pt>
                <c:pt idx="57">
                  <c:v>6.6143823071351084</c:v>
                </c:pt>
                <c:pt idx="58">
                  <c:v>5.2131367411498095</c:v>
                </c:pt>
                <c:pt idx="59">
                  <c:v>4.1370528999765455</c:v>
                </c:pt>
                <c:pt idx="60">
                  <c:v>3.2658404259231699</c:v>
                </c:pt>
                <c:pt idx="61">
                  <c:v>2.5284625157352734</c:v>
                </c:pt>
                <c:pt idx="62">
                  <c:v>1.8811758050930294</c:v>
                </c:pt>
                <c:pt idx="63">
                  <c:v>1.296203865406115</c:v>
                </c:pt>
                <c:pt idx="64">
                  <c:v>0.75548230551974038</c:v>
                </c:pt>
                <c:pt idx="65">
                  <c:v>0.2470284513710404</c:v>
                </c:pt>
                <c:pt idx="66">
                  <c:v>-0.23724491430329875</c:v>
                </c:pt>
                <c:pt idx="67">
                  <c:v>-0.70288385258626307</c:v>
                </c:pt>
                <c:pt idx="68">
                  <c:v>-1.1537510713567012</c:v>
                </c:pt>
                <c:pt idx="69">
                  <c:v>-1.592579132484236</c:v>
                </c:pt>
                <c:pt idx="70">
                  <c:v>-2.0213326075535782</c:v>
                </c:pt>
                <c:pt idx="71">
                  <c:v>-2.4414482077256805</c:v>
                </c:pt>
                <c:pt idx="72">
                  <c:v>-2.8539957880322087</c:v>
                </c:pt>
                <c:pt idx="73">
                  <c:v>-6.6806231254271875</c:v>
                </c:pt>
                <c:pt idx="74">
                  <c:v>-10.123596346167393</c:v>
                </c:pt>
                <c:pt idx="75">
                  <c:v>-13.285587342003387</c:v>
                </c:pt>
                <c:pt idx="76">
                  <c:v>-16.219563995068054</c:v>
                </c:pt>
                <c:pt idx="77">
                  <c:v>-18.960725113003143</c:v>
                </c:pt>
                <c:pt idx="78">
                  <c:v>-21.53544338942708</c:v>
                </c:pt>
                <c:pt idx="79">
                  <c:v>-23.964747245678936</c:v>
                </c:pt>
                <c:pt idx="80">
                  <c:v>-26.265949102953783</c:v>
                </c:pt>
                <c:pt idx="81">
                  <c:v>-28.453558247748102</c:v>
                </c:pt>
                <c:pt idx="82">
                  <c:v>-30.539870031316607</c:v>
                </c:pt>
                <c:pt idx="83">
                  <c:v>-32.535382853466942</c:v>
                </c:pt>
                <c:pt idx="84">
                  <c:v>-34.449111305776341</c:v>
                </c:pt>
                <c:pt idx="85">
                  <c:v>-36.288830927669856</c:v>
                </c:pt>
                <c:pt idx="86">
                  <c:v>-38.06127484490932</c:v>
                </c:pt>
                <c:pt idx="87">
                  <c:v>-39.772294719831201</c:v>
                </c:pt>
                <c:pt idx="88">
                  <c:v>-41.42699411079758</c:v>
                </c:pt>
                <c:pt idx="89">
                  <c:v>-43.029839835423651</c:v>
                </c:pt>
                <c:pt idx="90">
                  <c:v>-44.584755422753162</c:v>
                </c:pt>
              </c:numCache>
            </c:numRef>
          </c:yVal>
          <c:smooth val="1"/>
          <c:extLst>
            <c:ext xmlns:c16="http://schemas.microsoft.com/office/drawing/2014/chart" uri="{C3380CC4-5D6E-409C-BE32-E72D297353CC}">
              <c16:uniqueId val="{00000000-3D0E-483C-9DC5-11061E6F3C4C}"/>
            </c:ext>
          </c:extLst>
        </c:ser>
        <c:dLbls>
          <c:showLegendKey val="0"/>
          <c:showVal val="0"/>
          <c:showCatName val="0"/>
          <c:showSerName val="0"/>
          <c:showPercent val="0"/>
          <c:showBubbleSize val="0"/>
        </c:dLbls>
        <c:axId val="162331264"/>
        <c:axId val="162202368"/>
      </c:scatterChart>
      <c:scatterChart>
        <c:scatterStyle val="smoothMarker"/>
        <c:varyColors val="0"/>
        <c:ser>
          <c:idx val="1"/>
          <c:order val="1"/>
          <c:tx>
            <c:v>Phase</c:v>
          </c:tx>
          <c:spPr>
            <a:ln>
              <a:solidFill>
                <a:schemeClr val="tx1"/>
              </a:solidFill>
              <a:prstDash val="sysDot"/>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loop_gain!$AD$113:$AD$203</c:f>
              <c:numCache>
                <c:formatCode>General</c:formatCode>
                <c:ptCount val="91"/>
                <c:pt idx="0">
                  <c:v>-6.8607441697931515</c:v>
                </c:pt>
                <c:pt idx="1">
                  <c:v>-10.233659047012173</c:v>
                </c:pt>
                <c:pt idx="2">
                  <c:v>-13.54020308173615</c:v>
                </c:pt>
                <c:pt idx="3">
                  <c:v>-16.762279908467686</c:v>
                </c:pt>
                <c:pt idx="4">
                  <c:v>-19.884756505323224</c:v>
                </c:pt>
                <c:pt idx="5">
                  <c:v>-22.895690950114428</c:v>
                </c:pt>
                <c:pt idx="6">
                  <c:v>-25.786341363470367</c:v>
                </c:pt>
                <c:pt idx="7">
                  <c:v>-28.550995368352357</c:v>
                </c:pt>
                <c:pt idx="8">
                  <c:v>-31.186670621815757</c:v>
                </c:pt>
                <c:pt idx="9">
                  <c:v>-33.692738156729192</c:v>
                </c:pt>
                <c:pt idx="10">
                  <c:v>-36.070514212919242</c:v>
                </c:pt>
                <c:pt idx="11">
                  <c:v>-38.322856266042749</c:v>
                </c:pt>
                <c:pt idx="12">
                  <c:v>-40.453787954081008</c:v>
                </c:pt>
                <c:pt idx="13">
                  <c:v>-42.468167523488461</c:v>
                </c:pt>
                <c:pt idx="14">
                  <c:v>-44.371406296988042</c:v>
                </c:pt>
                <c:pt idx="15">
                  <c:v>-46.169237793462464</c:v>
                </c:pt>
                <c:pt idx="16">
                  <c:v>-47.867534334589649</c:v>
                </c:pt>
                <c:pt idx="17">
                  <c:v>-49.472165857072433</c:v>
                </c:pt>
                <c:pt idx="18">
                  <c:v>-50.988894762831357</c:v>
                </c:pt>
                <c:pt idx="19">
                  <c:v>-62.418214025426231</c:v>
                </c:pt>
                <c:pt idx="20">
                  <c:v>-69.532941636071072</c:v>
                </c:pt>
                <c:pt idx="21">
                  <c:v>-74.383503464052581</c:v>
                </c:pt>
                <c:pt idx="22">
                  <c:v>-77.946485140640348</c:v>
                </c:pt>
                <c:pt idx="23">
                  <c:v>-80.719330472714546</c:v>
                </c:pt>
                <c:pt idx="24">
                  <c:v>-82.975878176974646</c:v>
                </c:pt>
                <c:pt idx="25">
                  <c:v>-84.877463027584753</c:v>
                </c:pt>
                <c:pt idx="26">
                  <c:v>-86.524643321325811</c:v>
                </c:pt>
                <c:pt idx="27">
                  <c:v>-87.983072002059174</c:v>
                </c:pt>
                <c:pt idx="28">
                  <c:v>-89.297292345680077</c:v>
                </c:pt>
                <c:pt idx="29">
                  <c:v>-90.498512674388124</c:v>
                </c:pt>
                <c:pt idx="30">
                  <c:v>-91.609200425057935</c:v>
                </c:pt>
                <c:pt idx="31">
                  <c:v>-92.645909519046427</c:v>
                </c:pt>
                <c:pt idx="32">
                  <c:v>-93.621082724591119</c:v>
                </c:pt>
                <c:pt idx="33">
                  <c:v>-94.54423632709323</c:v>
                </c:pt>
                <c:pt idx="34">
                  <c:v>-95.422759979781432</c:v>
                </c:pt>
                <c:pt idx="35">
                  <c:v>-96.262469680814107</c:v>
                </c:pt>
                <c:pt idx="36">
                  <c:v>-97.06799819958735</c:v>
                </c:pt>
                <c:pt idx="37">
                  <c:v>-103.81202129069392</c:v>
                </c:pt>
                <c:pt idx="38">
                  <c:v>-108.96945090986729</c:v>
                </c:pt>
                <c:pt idx="39">
                  <c:v>-112.99035542649236</c:v>
                </c:pt>
                <c:pt idx="40">
                  <c:v>-116.08435723863403</c:v>
                </c:pt>
                <c:pt idx="41">
                  <c:v>-118.40930296198502</c:v>
                </c:pt>
                <c:pt idx="42">
                  <c:v>-120.10078124633286</c:v>
                </c:pt>
                <c:pt idx="43">
                  <c:v>-121.27557697787942</c:v>
                </c:pt>
                <c:pt idx="44">
                  <c:v>-122.03224779729564</c:v>
                </c:pt>
                <c:pt idx="45">
                  <c:v>-122.45250144636987</c:v>
                </c:pt>
                <c:pt idx="46">
                  <c:v>-122.60329829216565</c:v>
                </c:pt>
                <c:pt idx="47">
                  <c:v>-122.53916560274719</c:v>
                </c:pt>
                <c:pt idx="48">
                  <c:v>-122.30438331139264</c:v>
                </c:pt>
                <c:pt idx="49">
                  <c:v>-121.93489096293303</c:v>
                </c:pt>
                <c:pt idx="50">
                  <c:v>-121.45988081465994</c:v>
                </c:pt>
                <c:pt idx="51">
                  <c:v>-120.9030974092822</c:v>
                </c:pt>
                <c:pt idx="52">
                  <c:v>-120.28388455250328</c:v>
                </c:pt>
                <c:pt idx="53">
                  <c:v>-119.61802405053297</c:v>
                </c:pt>
                <c:pt idx="54">
                  <c:v>-118.91840665582579</c:v>
                </c:pt>
                <c:pt idx="55">
                  <c:v>-111.65550574807361</c:v>
                </c:pt>
                <c:pt idx="56">
                  <c:v>-105.82361674748455</c:v>
                </c:pt>
                <c:pt idx="57">
                  <c:v>-101.87088552992982</c:v>
                </c:pt>
                <c:pt idx="58">
                  <c:v>-99.499617501343849</c:v>
                </c:pt>
                <c:pt idx="59">
                  <c:v>-98.357764273348124</c:v>
                </c:pt>
                <c:pt idx="60">
                  <c:v>-98.150441139618067</c:v>
                </c:pt>
                <c:pt idx="61">
                  <c:v>-98.647504022770093</c:v>
                </c:pt>
                <c:pt idx="62">
                  <c:v>-99.67299883946373</c:v>
                </c:pt>
                <c:pt idx="63">
                  <c:v>-101.09327627224643</c:v>
                </c:pt>
                <c:pt idx="64">
                  <c:v>-102.80697453630147</c:v>
                </c:pt>
                <c:pt idx="65">
                  <c:v>-104.73717438812234</c:v>
                </c:pt>
                <c:pt idx="66">
                  <c:v>-106.82541481657279</c:v>
                </c:pt>
                <c:pt idx="67">
                  <c:v>-109.02717657345764</c:v>
                </c:pt>
                <c:pt idx="68">
                  <c:v>-111.30848749439832</c:v>
                </c:pt>
                <c:pt idx="69">
                  <c:v>-113.64337324439678</c:v>
                </c:pt>
                <c:pt idx="70">
                  <c:v>-116.01194129178765</c:v>
                </c:pt>
                <c:pt idx="71">
                  <c:v>-118.39893812443815</c:v>
                </c:pt>
                <c:pt idx="72">
                  <c:v>-120.79266012753835</c:v>
                </c:pt>
                <c:pt idx="73">
                  <c:v>-143.87105934012547</c:v>
                </c:pt>
                <c:pt idx="74">
                  <c:v>-164.30710399482678</c:v>
                </c:pt>
                <c:pt idx="75">
                  <c:v>-182.17957220405964</c:v>
                </c:pt>
                <c:pt idx="76">
                  <c:v>-197.927207347864</c:v>
                </c:pt>
                <c:pt idx="77">
                  <c:v>-211.94496467081811</c:v>
                </c:pt>
                <c:pt idx="78">
                  <c:v>-224.54776502043097</c:v>
                </c:pt>
                <c:pt idx="79">
                  <c:v>-235.98121232822749</c:v>
                </c:pt>
                <c:pt idx="80">
                  <c:v>-246.43694222256957</c:v>
                </c:pt>
                <c:pt idx="81">
                  <c:v>-256.0655960940374</c:v>
                </c:pt>
                <c:pt idx="82">
                  <c:v>-264.98672610990843</c:v>
                </c:pt>
                <c:pt idx="83">
                  <c:v>-273.29616383574768</c:v>
                </c:pt>
                <c:pt idx="84">
                  <c:v>-281.07149134951254</c:v>
                </c:pt>
                <c:pt idx="85">
                  <c:v>-288.3761288657372</c:v>
                </c:pt>
                <c:pt idx="86">
                  <c:v>-295.26241467854248</c:v>
                </c:pt>
                <c:pt idx="87">
                  <c:v>-301.77394566121166</c:v>
                </c:pt>
                <c:pt idx="88">
                  <c:v>-307.94736994911136</c:v>
                </c:pt>
                <c:pt idx="89">
                  <c:v>-313.81376999993444</c:v>
                </c:pt>
                <c:pt idx="90">
                  <c:v>-319.39973682476267</c:v>
                </c:pt>
              </c:numCache>
            </c:numRef>
          </c:yVal>
          <c:smooth val="1"/>
          <c:extLst>
            <c:ext xmlns:c16="http://schemas.microsoft.com/office/drawing/2014/chart" uri="{C3380CC4-5D6E-409C-BE32-E72D297353CC}">
              <c16:uniqueId val="{00000001-3D0E-483C-9DC5-11061E6F3C4C}"/>
            </c:ext>
          </c:extLst>
        </c:ser>
        <c:dLbls>
          <c:showLegendKey val="0"/>
          <c:showVal val="0"/>
          <c:showCatName val="0"/>
          <c:showSerName val="0"/>
          <c:showPercent val="0"/>
          <c:showBubbleSize val="0"/>
        </c:dLbls>
        <c:axId val="162218752"/>
        <c:axId val="162204288"/>
      </c:scatterChart>
      <c:valAx>
        <c:axId val="162331264"/>
        <c:scaling>
          <c:logBase val="10"/>
          <c:orientation val="minMax"/>
          <c:min val="10"/>
        </c:scaling>
        <c:delete val="0"/>
        <c:axPos val="b"/>
        <c:majorGridlines/>
        <c:minorGridlines/>
        <c:title>
          <c:tx>
            <c:rich>
              <a:bodyPr/>
              <a:lstStyle/>
              <a:p>
                <a:pPr>
                  <a:defRPr/>
                </a:pPr>
                <a:r>
                  <a:rPr lang="en-US"/>
                  <a:t>Frequency (Hz)</a:t>
                </a:r>
              </a:p>
            </c:rich>
          </c:tx>
          <c:overlay val="0"/>
        </c:title>
        <c:numFmt formatCode="#,##0.0" sourceLinked="1"/>
        <c:majorTickMark val="out"/>
        <c:minorTickMark val="none"/>
        <c:tickLblPos val="nextTo"/>
        <c:crossAx val="162202368"/>
        <c:crossesAt val="-80"/>
        <c:crossBetween val="midCat"/>
      </c:valAx>
      <c:valAx>
        <c:axId val="162202368"/>
        <c:scaling>
          <c:orientation val="minMax"/>
          <c:max val="80"/>
          <c:min val="-80"/>
        </c:scaling>
        <c:delete val="0"/>
        <c:axPos val="l"/>
        <c:majorGridlines/>
        <c:title>
          <c:tx>
            <c:rich>
              <a:bodyPr rot="-5400000" vert="horz"/>
              <a:lstStyle/>
              <a:p>
                <a:pPr>
                  <a:defRPr/>
                </a:pPr>
                <a:r>
                  <a:rPr lang="en-US"/>
                  <a:t>Loop Gain (dB)</a:t>
                </a:r>
              </a:p>
            </c:rich>
          </c:tx>
          <c:overlay val="0"/>
        </c:title>
        <c:numFmt formatCode="0.00" sourceLinked="1"/>
        <c:majorTickMark val="out"/>
        <c:minorTickMark val="none"/>
        <c:tickLblPos val="nextTo"/>
        <c:crossAx val="162331264"/>
        <c:crosses val="autoZero"/>
        <c:crossBetween val="midCat"/>
      </c:valAx>
      <c:valAx>
        <c:axId val="162204288"/>
        <c:scaling>
          <c:orientation val="minMax"/>
          <c:max val="180"/>
          <c:min val="-180"/>
        </c:scaling>
        <c:delete val="0"/>
        <c:axPos val="r"/>
        <c:majorGridlines/>
        <c:title>
          <c:tx>
            <c:rich>
              <a:bodyPr rot="-5400000" vert="horz"/>
              <a:lstStyle/>
              <a:p>
                <a:pPr>
                  <a:defRPr/>
                </a:pPr>
                <a:r>
                  <a:rPr lang="en-US"/>
                  <a:t>Loop Phase (°)</a:t>
                </a:r>
              </a:p>
            </c:rich>
          </c:tx>
          <c:overlay val="0"/>
        </c:title>
        <c:numFmt formatCode="General" sourceLinked="1"/>
        <c:majorTickMark val="out"/>
        <c:minorTickMark val="none"/>
        <c:tickLblPos val="nextTo"/>
        <c:crossAx val="162218752"/>
        <c:crosses val="max"/>
        <c:crossBetween val="midCat"/>
        <c:majorUnit val="45"/>
      </c:valAx>
      <c:valAx>
        <c:axId val="162218752"/>
        <c:scaling>
          <c:logBase val="10"/>
          <c:orientation val="minMax"/>
        </c:scaling>
        <c:delete val="1"/>
        <c:axPos val="b"/>
        <c:numFmt formatCode="#,##0.0" sourceLinked="1"/>
        <c:majorTickMark val="out"/>
        <c:minorTickMark val="none"/>
        <c:tickLblPos val="nextTo"/>
        <c:crossAx val="162204288"/>
        <c:crosses val="autoZero"/>
        <c:crossBetween val="midCat"/>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Switching Frequency vs. Ouput Current</a:t>
            </a:r>
          </a:p>
        </c:rich>
      </c:tx>
      <c:overlay val="0"/>
    </c:title>
    <c:autoTitleDeleted val="0"/>
    <c:plotArea>
      <c:layout/>
      <c:scatterChart>
        <c:scatterStyle val="lineMarker"/>
        <c:varyColors val="0"/>
        <c:ser>
          <c:idx val="0"/>
          <c:order val="0"/>
          <c:spPr>
            <a:ln>
              <a:solidFill>
                <a:schemeClr val="tx1"/>
              </a:solidFill>
            </a:ln>
          </c:spPr>
          <c:marker>
            <c:symbol val="none"/>
          </c:marker>
          <c:xVal>
            <c:numRef>
              <c:f>PFM_auto!$A$108:$A$146</c:f>
              <c:numCache>
                <c:formatCode>0.00</c:formatCode>
                <c:ptCount val="39"/>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9.0000000000000018</c:v>
                </c:pt>
                <c:pt idx="18">
                  <c:v>10.000000000000002</c:v>
                </c:pt>
                <c:pt idx="19">
                  <c:v>20.000000000000004</c:v>
                </c:pt>
                <c:pt idx="20">
                  <c:v>30.000000000000007</c:v>
                </c:pt>
                <c:pt idx="21">
                  <c:v>40.000000000000007</c:v>
                </c:pt>
                <c:pt idx="22">
                  <c:v>50.000000000000007</c:v>
                </c:pt>
                <c:pt idx="23">
                  <c:v>60.000000000000014</c:v>
                </c:pt>
                <c:pt idx="24">
                  <c:v>70</c:v>
                </c:pt>
                <c:pt idx="25">
                  <c:v>80</c:v>
                </c:pt>
                <c:pt idx="26">
                  <c:v>90</c:v>
                </c:pt>
                <c:pt idx="27">
                  <c:v>99.999999999999986</c:v>
                </c:pt>
                <c:pt idx="28">
                  <c:v>200</c:v>
                </c:pt>
                <c:pt idx="29">
                  <c:v>300.00000000000006</c:v>
                </c:pt>
                <c:pt idx="30">
                  <c:v>400</c:v>
                </c:pt>
                <c:pt idx="31">
                  <c:v>500</c:v>
                </c:pt>
                <c:pt idx="32">
                  <c:v>600</c:v>
                </c:pt>
                <c:pt idx="33">
                  <c:v>700</c:v>
                </c:pt>
                <c:pt idx="34">
                  <c:v>799.99999999999989</c:v>
                </c:pt>
                <c:pt idx="35">
                  <c:v>899.99999999999989</c:v>
                </c:pt>
                <c:pt idx="36">
                  <c:v>999.99999999999989</c:v>
                </c:pt>
                <c:pt idx="37">
                  <c:v>2000</c:v>
                </c:pt>
                <c:pt idx="38">
                  <c:v>3000</c:v>
                </c:pt>
              </c:numCache>
            </c:numRef>
          </c:xVal>
          <c:yVal>
            <c:numRef>
              <c:f>PFM_auto!$B$108:$B$146</c:f>
              <c:numCache>
                <c:formatCode>#,##0.0</c:formatCode>
                <c:ptCount val="39"/>
                <c:pt idx="0">
                  <c:v>218.2316997131812</c:v>
                </c:pt>
                <c:pt idx="1">
                  <c:v>436.4633994263624</c:v>
                </c:pt>
                <c:pt idx="2">
                  <c:v>654.69509913954357</c:v>
                </c:pt>
                <c:pt idx="3">
                  <c:v>872.9267988527248</c:v>
                </c:pt>
                <c:pt idx="4">
                  <c:v>1091.158498565906</c:v>
                </c:pt>
                <c:pt idx="5">
                  <c:v>1309.3901982790871</c:v>
                </c:pt>
                <c:pt idx="6">
                  <c:v>1527.6218979922683</c:v>
                </c:pt>
                <c:pt idx="7">
                  <c:v>1745.8535977054496</c:v>
                </c:pt>
                <c:pt idx="8">
                  <c:v>1964.0852974186307</c:v>
                </c:pt>
                <c:pt idx="9">
                  <c:v>2182.3169971318121</c:v>
                </c:pt>
                <c:pt idx="10">
                  <c:v>4364.6339942636241</c:v>
                </c:pt>
                <c:pt idx="11">
                  <c:v>6546.9509913954362</c:v>
                </c:pt>
                <c:pt idx="12">
                  <c:v>8729.2679885272482</c:v>
                </c:pt>
                <c:pt idx="13">
                  <c:v>10911.584985659059</c:v>
                </c:pt>
                <c:pt idx="14">
                  <c:v>13093.901982790872</c:v>
                </c:pt>
                <c:pt idx="15">
                  <c:v>15276.218979922684</c:v>
                </c:pt>
                <c:pt idx="16">
                  <c:v>17458.535977054496</c:v>
                </c:pt>
                <c:pt idx="17">
                  <c:v>19640.852974186309</c:v>
                </c:pt>
                <c:pt idx="18">
                  <c:v>21823.169971318122</c:v>
                </c:pt>
                <c:pt idx="19">
                  <c:v>43646.339942636245</c:v>
                </c:pt>
                <c:pt idx="20">
                  <c:v>65469.509913954367</c:v>
                </c:pt>
                <c:pt idx="21">
                  <c:v>87292.67988527249</c:v>
                </c:pt>
                <c:pt idx="22">
                  <c:v>109115.84985659062</c:v>
                </c:pt>
                <c:pt idx="23">
                  <c:v>130939.01982790873</c:v>
                </c:pt>
                <c:pt idx="24">
                  <c:v>152762.18979922685</c:v>
                </c:pt>
                <c:pt idx="25">
                  <c:v>174585.35977054495</c:v>
                </c:pt>
                <c:pt idx="26">
                  <c:v>196408.52974186308</c:v>
                </c:pt>
                <c:pt idx="27">
                  <c:v>218231.69971318118</c:v>
                </c:pt>
                <c:pt idx="28">
                  <c:v>436463.39942636242</c:v>
                </c:pt>
                <c:pt idx="29">
                  <c:v>654695.09913954372</c:v>
                </c:pt>
                <c:pt idx="30">
                  <c:v>872926.79885272484</c:v>
                </c:pt>
                <c:pt idx="31">
                  <c:v>1022700.4653756239</c:v>
                </c:pt>
                <c:pt idx="32">
                  <c:v>1115027.5907220345</c:v>
                </c:pt>
                <c:pt idx="33">
                  <c:v>1225679.1836944502</c:v>
                </c:pt>
                <c:pt idx="34">
                  <c:v>1360711.636135364</c:v>
                </c:pt>
                <c:pt idx="35">
                  <c:v>1529180.6958473613</c:v>
                </c:pt>
                <c:pt idx="36">
                  <c:v>1745260.5767823143</c:v>
                </c:pt>
                <c:pt idx="37">
                  <c:v>2100000</c:v>
                </c:pt>
                <c:pt idx="38">
                  <c:v>2100000</c:v>
                </c:pt>
              </c:numCache>
            </c:numRef>
          </c:yVal>
          <c:smooth val="0"/>
          <c:extLst>
            <c:ext xmlns:c16="http://schemas.microsoft.com/office/drawing/2014/chart" uri="{C3380CC4-5D6E-409C-BE32-E72D297353CC}">
              <c16:uniqueId val="{00000000-2541-464B-901C-7D68CFF7FE44}"/>
            </c:ext>
          </c:extLst>
        </c:ser>
        <c:dLbls>
          <c:showLegendKey val="0"/>
          <c:showVal val="0"/>
          <c:showCatName val="0"/>
          <c:showSerName val="0"/>
          <c:showPercent val="0"/>
          <c:showBubbleSize val="0"/>
        </c:dLbls>
        <c:axId val="162239616"/>
        <c:axId val="162241536"/>
      </c:scatterChart>
      <c:valAx>
        <c:axId val="162239616"/>
        <c:scaling>
          <c:logBase val="10"/>
          <c:orientation val="minMax"/>
        </c:scaling>
        <c:delete val="0"/>
        <c:axPos val="b"/>
        <c:majorGridlines/>
        <c:minorGridlines/>
        <c:title>
          <c:tx>
            <c:rich>
              <a:bodyPr/>
              <a:lstStyle/>
              <a:p>
                <a:pPr>
                  <a:defRPr/>
                </a:pPr>
                <a:r>
                  <a:rPr lang="en-US"/>
                  <a:t>Output Current (mA)</a:t>
                </a:r>
              </a:p>
            </c:rich>
          </c:tx>
          <c:overlay val="0"/>
        </c:title>
        <c:numFmt formatCode="0.00" sourceLinked="1"/>
        <c:majorTickMark val="out"/>
        <c:minorTickMark val="none"/>
        <c:tickLblPos val="nextTo"/>
        <c:crossAx val="162241536"/>
        <c:crosses val="autoZero"/>
        <c:crossBetween val="midCat"/>
      </c:valAx>
      <c:valAx>
        <c:axId val="162241536"/>
        <c:scaling>
          <c:logBase val="10"/>
          <c:orientation val="minMax"/>
          <c:min val="10"/>
        </c:scaling>
        <c:delete val="0"/>
        <c:axPos val="l"/>
        <c:majorGridlines/>
        <c:minorGridlines/>
        <c:title>
          <c:tx>
            <c:rich>
              <a:bodyPr rot="-5400000" vert="horz"/>
              <a:lstStyle/>
              <a:p>
                <a:pPr>
                  <a:defRPr/>
                </a:pPr>
                <a:r>
                  <a:rPr lang="en-US"/>
                  <a:t>Switching Frequency (Hz)</a:t>
                </a:r>
              </a:p>
            </c:rich>
          </c:tx>
          <c:overlay val="0"/>
        </c:title>
        <c:numFmt formatCode="#,##0.0" sourceLinked="1"/>
        <c:majorTickMark val="out"/>
        <c:minorTickMark val="none"/>
        <c:tickLblPos val="nextTo"/>
        <c:crossAx val="162239616"/>
        <c:crossesAt val="0.1"/>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Switching Frequency vs. Input Voltage</a:t>
            </a:r>
          </a:p>
        </c:rich>
      </c:tx>
      <c:overlay val="0"/>
    </c:title>
    <c:autoTitleDeleted val="0"/>
    <c:plotArea>
      <c:layout/>
      <c:scatterChart>
        <c:scatterStyle val="lineMarker"/>
        <c:varyColors val="0"/>
        <c:ser>
          <c:idx val="0"/>
          <c:order val="0"/>
          <c:spPr>
            <a:ln>
              <a:solidFill>
                <a:schemeClr val="tx1"/>
              </a:solidFill>
            </a:ln>
          </c:spPr>
          <c:marker>
            <c:symbol val="none"/>
          </c:marker>
          <c:xVal>
            <c:numRef>
              <c:f>Freq_fold!$A$20:$A$99</c:f>
              <c:numCache>
                <c:formatCode>General</c:formatCode>
                <c:ptCount val="80"/>
                <c:pt idx="0">
                  <c:v>3.5</c:v>
                </c:pt>
                <c:pt idx="1">
                  <c:v>3.6</c:v>
                </c:pt>
                <c:pt idx="2">
                  <c:v>3.7</c:v>
                </c:pt>
                <c:pt idx="3">
                  <c:v>3.8000000000000003</c:v>
                </c:pt>
                <c:pt idx="4">
                  <c:v>3.9000000000000004</c:v>
                </c:pt>
                <c:pt idx="5">
                  <c:v>4</c:v>
                </c:pt>
                <c:pt idx="6">
                  <c:v>4.0999999999999996</c:v>
                </c:pt>
                <c:pt idx="7">
                  <c:v>4.1999999999999993</c:v>
                </c:pt>
                <c:pt idx="8">
                  <c:v>4.2999999999999989</c:v>
                </c:pt>
                <c:pt idx="9">
                  <c:v>4.3999999999999986</c:v>
                </c:pt>
                <c:pt idx="10">
                  <c:v>4.4999999999999982</c:v>
                </c:pt>
                <c:pt idx="11">
                  <c:v>4.5999999999999979</c:v>
                </c:pt>
                <c:pt idx="12">
                  <c:v>4.6999999999999975</c:v>
                </c:pt>
                <c:pt idx="13">
                  <c:v>4.7999999999999972</c:v>
                </c:pt>
                <c:pt idx="14">
                  <c:v>4.8999999999999968</c:v>
                </c:pt>
                <c:pt idx="15">
                  <c:v>4.9999999999999964</c:v>
                </c:pt>
                <c:pt idx="16">
                  <c:v>5.0999999999999961</c:v>
                </c:pt>
                <c:pt idx="17">
                  <c:v>5.1999999999999957</c:v>
                </c:pt>
                <c:pt idx="18">
                  <c:v>5.2999999999999954</c:v>
                </c:pt>
                <c:pt idx="19">
                  <c:v>5.399999999999995</c:v>
                </c:pt>
                <c:pt idx="20">
                  <c:v>5.4999999999999947</c:v>
                </c:pt>
                <c:pt idx="21">
                  <c:v>5.5999999999999943</c:v>
                </c:pt>
                <c:pt idx="22">
                  <c:v>5.699999999999994</c:v>
                </c:pt>
                <c:pt idx="23">
                  <c:v>5.7999999999999936</c:v>
                </c:pt>
                <c:pt idx="24">
                  <c:v>5.8999999999999932</c:v>
                </c:pt>
                <c:pt idx="25">
                  <c:v>5.9999999999999929</c:v>
                </c:pt>
                <c:pt idx="26">
                  <c:v>6.1999999999999931</c:v>
                </c:pt>
                <c:pt idx="27">
                  <c:v>6.3999999999999932</c:v>
                </c:pt>
                <c:pt idx="28">
                  <c:v>6.5999999999999934</c:v>
                </c:pt>
                <c:pt idx="29">
                  <c:v>6.7999999999999936</c:v>
                </c:pt>
                <c:pt idx="30">
                  <c:v>6.9999999999999938</c:v>
                </c:pt>
                <c:pt idx="31">
                  <c:v>7.199999999999994</c:v>
                </c:pt>
                <c:pt idx="32">
                  <c:v>7.3999999999999941</c:v>
                </c:pt>
                <c:pt idx="33">
                  <c:v>7.5999999999999943</c:v>
                </c:pt>
                <c:pt idx="34">
                  <c:v>7.7999999999999945</c:v>
                </c:pt>
                <c:pt idx="35">
                  <c:v>7.9999999999999947</c:v>
                </c:pt>
                <c:pt idx="36">
                  <c:v>8.199999999999994</c:v>
                </c:pt>
                <c:pt idx="37">
                  <c:v>8.3999999999999932</c:v>
                </c:pt>
                <c:pt idx="38">
                  <c:v>8.5999999999999925</c:v>
                </c:pt>
                <c:pt idx="39">
                  <c:v>8.7999999999999918</c:v>
                </c:pt>
                <c:pt idx="40">
                  <c:v>8.9999999999999911</c:v>
                </c:pt>
                <c:pt idx="41">
                  <c:v>9.1999999999999904</c:v>
                </c:pt>
                <c:pt idx="42">
                  <c:v>9.3999999999999897</c:v>
                </c:pt>
                <c:pt idx="43">
                  <c:v>9.599999999999989</c:v>
                </c:pt>
                <c:pt idx="44">
                  <c:v>9.7999999999999883</c:v>
                </c:pt>
                <c:pt idx="45">
                  <c:v>9.9999999999999876</c:v>
                </c:pt>
                <c:pt idx="46">
                  <c:v>10.199999999999987</c:v>
                </c:pt>
                <c:pt idx="47">
                  <c:v>10.399999999999986</c:v>
                </c:pt>
                <c:pt idx="48">
                  <c:v>10.599999999999985</c:v>
                </c:pt>
                <c:pt idx="49">
                  <c:v>10.799999999999985</c:v>
                </c:pt>
                <c:pt idx="50">
                  <c:v>10.999999999999984</c:v>
                </c:pt>
                <c:pt idx="51">
                  <c:v>11.199999999999983</c:v>
                </c:pt>
                <c:pt idx="52">
                  <c:v>11.399999999999983</c:v>
                </c:pt>
                <c:pt idx="53">
                  <c:v>11.599999999999982</c:v>
                </c:pt>
                <c:pt idx="54">
                  <c:v>11.799999999999981</c:v>
                </c:pt>
                <c:pt idx="55">
                  <c:v>11.99999999999998</c:v>
                </c:pt>
                <c:pt idx="56">
                  <c:v>12.99999999999998</c:v>
                </c:pt>
                <c:pt idx="57">
                  <c:v>13.99999999999998</c:v>
                </c:pt>
                <c:pt idx="58">
                  <c:v>14.99999999999998</c:v>
                </c:pt>
                <c:pt idx="59">
                  <c:v>15.99999999999998</c:v>
                </c:pt>
                <c:pt idx="60">
                  <c:v>16.999999999999979</c:v>
                </c:pt>
                <c:pt idx="61">
                  <c:v>17.999999999999979</c:v>
                </c:pt>
                <c:pt idx="62">
                  <c:v>18.999999999999979</c:v>
                </c:pt>
                <c:pt idx="63">
                  <c:v>19.999999999999979</c:v>
                </c:pt>
                <c:pt idx="64">
                  <c:v>20.999999999999979</c:v>
                </c:pt>
                <c:pt idx="65">
                  <c:v>21.999999999999979</c:v>
                </c:pt>
                <c:pt idx="66">
                  <c:v>22.999999999999979</c:v>
                </c:pt>
                <c:pt idx="67">
                  <c:v>23.999999999999979</c:v>
                </c:pt>
                <c:pt idx="68">
                  <c:v>24.999999999999979</c:v>
                </c:pt>
                <c:pt idx="69">
                  <c:v>25.999999999999979</c:v>
                </c:pt>
                <c:pt idx="70">
                  <c:v>26.999999999999979</c:v>
                </c:pt>
                <c:pt idx="71">
                  <c:v>27.999999999999979</c:v>
                </c:pt>
                <c:pt idx="72">
                  <c:v>28.999999999999979</c:v>
                </c:pt>
                <c:pt idx="73">
                  <c:v>29.999999999999979</c:v>
                </c:pt>
                <c:pt idx="74">
                  <c:v>30.999999999999979</c:v>
                </c:pt>
                <c:pt idx="75">
                  <c:v>31.999999999999979</c:v>
                </c:pt>
                <c:pt idx="76">
                  <c:v>32.999999999999979</c:v>
                </c:pt>
                <c:pt idx="77">
                  <c:v>33.999999999999979</c:v>
                </c:pt>
                <c:pt idx="78">
                  <c:v>34.999999999999979</c:v>
                </c:pt>
                <c:pt idx="79">
                  <c:v>35.999999999999979</c:v>
                </c:pt>
              </c:numCache>
            </c:numRef>
          </c:xVal>
          <c:yVal>
            <c:numRef>
              <c:f>Freq_fold!$D$20:$D$99</c:f>
              <c:numCache>
                <c:formatCode>#,##0.0</c:formatCode>
                <c:ptCount val="80"/>
                <c:pt idx="0">
                  <c:v>140.8450704225352</c:v>
                </c:pt>
                <c:pt idx="1">
                  <c:v>140.8450704225352</c:v>
                </c:pt>
                <c:pt idx="2">
                  <c:v>140.8450704225352</c:v>
                </c:pt>
                <c:pt idx="3">
                  <c:v>140.8450704225352</c:v>
                </c:pt>
                <c:pt idx="4">
                  <c:v>140.8450704225352</c:v>
                </c:pt>
                <c:pt idx="5">
                  <c:v>140.8450704225352</c:v>
                </c:pt>
                <c:pt idx="6">
                  <c:v>140.8450704225352</c:v>
                </c:pt>
                <c:pt idx="7">
                  <c:v>140.8450704225352</c:v>
                </c:pt>
                <c:pt idx="8">
                  <c:v>140.8450704225352</c:v>
                </c:pt>
                <c:pt idx="9">
                  <c:v>140.8450704225352</c:v>
                </c:pt>
                <c:pt idx="10">
                  <c:v>140.8450704225352</c:v>
                </c:pt>
                <c:pt idx="11">
                  <c:v>140.8450704225352</c:v>
                </c:pt>
                <c:pt idx="12">
                  <c:v>140.8450704225352</c:v>
                </c:pt>
                <c:pt idx="13">
                  <c:v>140.8450704225352</c:v>
                </c:pt>
                <c:pt idx="14">
                  <c:v>140.8450704225352</c:v>
                </c:pt>
                <c:pt idx="15">
                  <c:v>140.8450704225352</c:v>
                </c:pt>
                <c:pt idx="16">
                  <c:v>140.8450704225352</c:v>
                </c:pt>
                <c:pt idx="17">
                  <c:v>140.8450704225352</c:v>
                </c:pt>
                <c:pt idx="18">
                  <c:v>140.8450704225352</c:v>
                </c:pt>
                <c:pt idx="19">
                  <c:v>140.8450704225352</c:v>
                </c:pt>
                <c:pt idx="20">
                  <c:v>309.04059040589351</c:v>
                </c:pt>
                <c:pt idx="21">
                  <c:v>484.6014492753514</c:v>
                </c:pt>
                <c:pt idx="22">
                  <c:v>653.91459074731983</c:v>
                </c:pt>
                <c:pt idx="23">
                  <c:v>817.30769230768169</c:v>
                </c:pt>
                <c:pt idx="24">
                  <c:v>975.08591065290977</c:v>
                </c:pt>
                <c:pt idx="25">
                  <c:v>1127.5337837837731</c:v>
                </c:pt>
                <c:pt idx="26">
                  <c:v>1417.4836601307086</c:v>
                </c:pt>
                <c:pt idx="27">
                  <c:v>1689.0822784810034</c:v>
                </c:pt>
                <c:pt idx="28">
                  <c:v>1944.0184049079667</c:v>
                </c:pt>
                <c:pt idx="29">
                  <c:v>2100</c:v>
                </c:pt>
                <c:pt idx="30">
                  <c:v>2100</c:v>
                </c:pt>
                <c:pt idx="31">
                  <c:v>2100</c:v>
                </c:pt>
                <c:pt idx="32">
                  <c:v>2100</c:v>
                </c:pt>
                <c:pt idx="33">
                  <c:v>2100</c:v>
                </c:pt>
                <c:pt idx="34">
                  <c:v>2100</c:v>
                </c:pt>
                <c:pt idx="35">
                  <c:v>2100</c:v>
                </c:pt>
                <c:pt idx="36">
                  <c:v>2100</c:v>
                </c:pt>
                <c:pt idx="37">
                  <c:v>2100</c:v>
                </c:pt>
                <c:pt idx="38">
                  <c:v>2100</c:v>
                </c:pt>
                <c:pt idx="39">
                  <c:v>2100</c:v>
                </c:pt>
                <c:pt idx="40">
                  <c:v>2100</c:v>
                </c:pt>
                <c:pt idx="41">
                  <c:v>2100</c:v>
                </c:pt>
                <c:pt idx="42">
                  <c:v>2100</c:v>
                </c:pt>
                <c:pt idx="43">
                  <c:v>2100</c:v>
                </c:pt>
                <c:pt idx="44">
                  <c:v>2100</c:v>
                </c:pt>
                <c:pt idx="45">
                  <c:v>2100</c:v>
                </c:pt>
                <c:pt idx="46">
                  <c:v>2100</c:v>
                </c:pt>
                <c:pt idx="47">
                  <c:v>2100</c:v>
                </c:pt>
                <c:pt idx="48">
                  <c:v>2100</c:v>
                </c:pt>
                <c:pt idx="49">
                  <c:v>2100</c:v>
                </c:pt>
                <c:pt idx="50">
                  <c:v>2100</c:v>
                </c:pt>
                <c:pt idx="51">
                  <c:v>2100</c:v>
                </c:pt>
                <c:pt idx="52">
                  <c:v>2100</c:v>
                </c:pt>
                <c:pt idx="53">
                  <c:v>2100</c:v>
                </c:pt>
                <c:pt idx="54">
                  <c:v>2100</c:v>
                </c:pt>
                <c:pt idx="55">
                  <c:v>2100</c:v>
                </c:pt>
                <c:pt idx="56">
                  <c:v>2100</c:v>
                </c:pt>
                <c:pt idx="57">
                  <c:v>2100</c:v>
                </c:pt>
                <c:pt idx="58">
                  <c:v>2100</c:v>
                </c:pt>
                <c:pt idx="59">
                  <c:v>2100</c:v>
                </c:pt>
                <c:pt idx="60">
                  <c:v>2100</c:v>
                </c:pt>
                <c:pt idx="61">
                  <c:v>2100</c:v>
                </c:pt>
                <c:pt idx="62">
                  <c:v>2100</c:v>
                </c:pt>
                <c:pt idx="63">
                  <c:v>2100</c:v>
                </c:pt>
                <c:pt idx="64">
                  <c:v>2100</c:v>
                </c:pt>
                <c:pt idx="65">
                  <c:v>2100</c:v>
                </c:pt>
                <c:pt idx="66">
                  <c:v>2100</c:v>
                </c:pt>
                <c:pt idx="67">
                  <c:v>2100</c:v>
                </c:pt>
                <c:pt idx="68">
                  <c:v>2100</c:v>
                </c:pt>
                <c:pt idx="69">
                  <c:v>2100</c:v>
                </c:pt>
                <c:pt idx="70">
                  <c:v>2100</c:v>
                </c:pt>
                <c:pt idx="71">
                  <c:v>2100</c:v>
                </c:pt>
                <c:pt idx="72">
                  <c:v>2100</c:v>
                </c:pt>
                <c:pt idx="73">
                  <c:v>2100</c:v>
                </c:pt>
                <c:pt idx="74">
                  <c:v>2100</c:v>
                </c:pt>
                <c:pt idx="75">
                  <c:v>2100</c:v>
                </c:pt>
                <c:pt idx="76">
                  <c:v>2100</c:v>
                </c:pt>
                <c:pt idx="77">
                  <c:v>2100</c:v>
                </c:pt>
                <c:pt idx="78">
                  <c:v>2100</c:v>
                </c:pt>
                <c:pt idx="79">
                  <c:v>2100</c:v>
                </c:pt>
              </c:numCache>
            </c:numRef>
          </c:yVal>
          <c:smooth val="0"/>
          <c:extLst>
            <c:ext xmlns:c16="http://schemas.microsoft.com/office/drawing/2014/chart" uri="{C3380CC4-5D6E-409C-BE32-E72D297353CC}">
              <c16:uniqueId val="{00000000-4A60-4527-A9A8-7D9E67203F6B}"/>
            </c:ext>
          </c:extLst>
        </c:ser>
        <c:dLbls>
          <c:showLegendKey val="0"/>
          <c:showVal val="0"/>
          <c:showCatName val="0"/>
          <c:showSerName val="0"/>
          <c:showPercent val="0"/>
          <c:showBubbleSize val="0"/>
        </c:dLbls>
        <c:axId val="162606080"/>
        <c:axId val="162608256"/>
      </c:scatterChart>
      <c:valAx>
        <c:axId val="162606080"/>
        <c:scaling>
          <c:orientation val="minMax"/>
          <c:max val="38"/>
          <c:min val="2"/>
        </c:scaling>
        <c:delete val="0"/>
        <c:axPos val="b"/>
        <c:majorGridlines/>
        <c:minorGridlines/>
        <c:title>
          <c:tx>
            <c:rich>
              <a:bodyPr/>
              <a:lstStyle/>
              <a:p>
                <a:pPr>
                  <a:defRPr/>
                </a:pPr>
                <a:r>
                  <a:rPr lang="en-US"/>
                  <a:t>Input Voltage (V)</a:t>
                </a:r>
              </a:p>
            </c:rich>
          </c:tx>
          <c:overlay val="0"/>
        </c:title>
        <c:numFmt formatCode="General" sourceLinked="1"/>
        <c:majorTickMark val="out"/>
        <c:minorTickMark val="none"/>
        <c:tickLblPos val="nextTo"/>
        <c:crossAx val="162608256"/>
        <c:crosses val="autoZero"/>
        <c:crossBetween val="midCat"/>
        <c:majorUnit val="2"/>
        <c:minorUnit val="1"/>
      </c:valAx>
      <c:valAx>
        <c:axId val="162608256"/>
        <c:scaling>
          <c:orientation val="minMax"/>
        </c:scaling>
        <c:delete val="0"/>
        <c:axPos val="l"/>
        <c:majorGridlines/>
        <c:minorGridlines/>
        <c:title>
          <c:tx>
            <c:rich>
              <a:bodyPr rot="-5400000" vert="horz"/>
              <a:lstStyle/>
              <a:p>
                <a:pPr>
                  <a:defRPr/>
                </a:pPr>
                <a:r>
                  <a:rPr lang="en-US"/>
                  <a:t>Switching Frequency (kHz)</a:t>
                </a:r>
              </a:p>
            </c:rich>
          </c:tx>
          <c:overlay val="0"/>
        </c:title>
        <c:numFmt formatCode="#,##0.0" sourceLinked="1"/>
        <c:majorTickMark val="out"/>
        <c:minorTickMark val="none"/>
        <c:tickLblPos val="nextTo"/>
        <c:crossAx val="162606080"/>
        <c:crosses val="autoZero"/>
        <c:crossBetween val="midCat"/>
        <c:majorUnit val="250"/>
        <c:minorUnit val="125"/>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Loop Gain</c:v>
          </c:tx>
          <c:spPr>
            <a:ln>
              <a:solidFill>
                <a:schemeClr val="tx1"/>
              </a:solidFill>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loop_gain!$R$113:$R$203</c:f>
              <c:numCache>
                <c:formatCode>0.00</c:formatCode>
                <c:ptCount val="91"/>
                <c:pt idx="0">
                  <c:v>65.448523013371599</c:v>
                </c:pt>
                <c:pt idx="1">
                  <c:v>65.37440695867771</c:v>
                </c:pt>
                <c:pt idx="2">
                  <c:v>65.272722016612491</c:v>
                </c:pt>
                <c:pt idx="3">
                  <c:v>65.145383729138345</c:v>
                </c:pt>
                <c:pt idx="4">
                  <c:v>64.994647525473439</c:v>
                </c:pt>
                <c:pt idx="5">
                  <c:v>64.822989509615795</c:v>
                </c:pt>
                <c:pt idx="6">
                  <c:v>64.632991722914298</c:v>
                </c:pt>
                <c:pt idx="7">
                  <c:v>64.4272406309899</c:v>
                </c:pt>
                <c:pt idx="8">
                  <c:v>64.208244172601283</c:v>
                </c:pt>
                <c:pt idx="9">
                  <c:v>63.978369434934415</c:v>
                </c:pt>
                <c:pt idx="10">
                  <c:v>63.739800405060471</c:v>
                </c:pt>
                <c:pt idx="11">
                  <c:v>63.4945135020427</c:v>
                </c:pt>
                <c:pt idx="12">
                  <c:v>63.24426768667314</c:v>
                </c:pt>
                <c:pt idx="13">
                  <c:v>62.990605704933394</c:v>
                </c:pt>
                <c:pt idx="14">
                  <c:v>62.734863230090028</c:v>
                </c:pt>
                <c:pt idx="15">
                  <c:v>62.478183126593002</c:v>
                </c:pt>
                <c:pt idx="16">
                  <c:v>62.221532612773835</c:v>
                </c:pt>
                <c:pt idx="17">
                  <c:v>61.9657216471103</c:v>
                </c:pt>
                <c:pt idx="18">
                  <c:v>61.711421347844251</c:v>
                </c:pt>
                <c:pt idx="19">
                  <c:v>59.331020407366175</c:v>
                </c:pt>
                <c:pt idx="20">
                  <c:v>57.310951493811572</c:v>
                </c:pt>
                <c:pt idx="21">
                  <c:v>55.608829722687283</c:v>
                </c:pt>
                <c:pt idx="22">
                  <c:v>54.153878390007222</c:v>
                </c:pt>
                <c:pt idx="23">
                  <c:v>52.888949212629015</c:v>
                </c:pt>
                <c:pt idx="24">
                  <c:v>51.77214420840437</c:v>
                </c:pt>
                <c:pt idx="25">
                  <c:v>50.773002098499369</c:v>
                </c:pt>
                <c:pt idx="26">
                  <c:v>49.869072576637322</c:v>
                </c:pt>
                <c:pt idx="27">
                  <c:v>49.043490348982559</c:v>
                </c:pt>
                <c:pt idx="28">
                  <c:v>48.283336385960794</c:v>
                </c:pt>
                <c:pt idx="29">
                  <c:v>47.578532466013414</c:v>
                </c:pt>
                <c:pt idx="30">
                  <c:v>46.921085542087837</c:v>
                </c:pt>
                <c:pt idx="31">
                  <c:v>46.304561900123602</c:v>
                </c:pt>
                <c:pt idx="32">
                  <c:v>45.723714255008417</c:v>
                </c:pt>
                <c:pt idx="33">
                  <c:v>45.17421239747668</c:v>
                </c:pt>
                <c:pt idx="34">
                  <c:v>44.652445239869095</c:v>
                </c:pt>
                <c:pt idx="35">
                  <c:v>44.155372979808334</c:v>
                </c:pt>
                <c:pt idx="36">
                  <c:v>43.680415047631534</c:v>
                </c:pt>
                <c:pt idx="37">
                  <c:v>39.779546988230692</c:v>
                </c:pt>
                <c:pt idx="38">
                  <c:v>36.795618002869375</c:v>
                </c:pt>
                <c:pt idx="39">
                  <c:v>34.313994694703048</c:v>
                </c:pt>
                <c:pt idx="40">
                  <c:v>32.163045491962976</c:v>
                </c:pt>
                <c:pt idx="41">
                  <c:v>30.256972655777748</c:v>
                </c:pt>
                <c:pt idx="42">
                  <c:v>28.545930814944338</c:v>
                </c:pt>
                <c:pt idx="43">
                  <c:v>26.997133742405651</c:v>
                </c:pt>
                <c:pt idx="44">
                  <c:v>25.586879734724789</c:v>
                </c:pt>
                <c:pt idx="45">
                  <c:v>24.296874932173733</c:v>
                </c:pt>
                <c:pt idx="46">
                  <c:v>23.112381172189952</c:v>
                </c:pt>
                <c:pt idx="47">
                  <c:v>22.021191602225034</c:v>
                </c:pt>
                <c:pt idx="48">
                  <c:v>21.013009005026497</c:v>
                </c:pt>
                <c:pt idx="49">
                  <c:v>20.079035779002421</c:v>
                </c:pt>
                <c:pt idx="50">
                  <c:v>19.211684667870486</c:v>
                </c:pt>
                <c:pt idx="51">
                  <c:v>18.404364109149533</c:v>
                </c:pt>
                <c:pt idx="52">
                  <c:v>17.651313065401496</c:v>
                </c:pt>
                <c:pt idx="53">
                  <c:v>16.947470596968877</c:v>
                </c:pt>
                <c:pt idx="54">
                  <c:v>16.288370908904604</c:v>
                </c:pt>
                <c:pt idx="55">
                  <c:v>11.465845858842641</c:v>
                </c:pt>
                <c:pt idx="56">
                  <c:v>8.5570699269496906</c:v>
                </c:pt>
                <c:pt idx="57">
                  <c:v>6.6143823071351084</c:v>
                </c:pt>
                <c:pt idx="58">
                  <c:v>5.2131367411498095</c:v>
                </c:pt>
                <c:pt idx="59">
                  <c:v>4.1370528999765455</c:v>
                </c:pt>
                <c:pt idx="60">
                  <c:v>3.2658404259231699</c:v>
                </c:pt>
                <c:pt idx="61">
                  <c:v>2.5284625157352734</c:v>
                </c:pt>
                <c:pt idx="62">
                  <c:v>1.8811758050930294</c:v>
                </c:pt>
                <c:pt idx="63">
                  <c:v>1.296203865406115</c:v>
                </c:pt>
                <c:pt idx="64">
                  <c:v>0.75548230551974038</c:v>
                </c:pt>
                <c:pt idx="65">
                  <c:v>0.2470284513710404</c:v>
                </c:pt>
                <c:pt idx="66">
                  <c:v>-0.23724491430329875</c:v>
                </c:pt>
                <c:pt idx="67">
                  <c:v>-0.70288385258626307</c:v>
                </c:pt>
                <c:pt idx="68">
                  <c:v>-1.1537510713567012</c:v>
                </c:pt>
                <c:pt idx="69">
                  <c:v>-1.592579132484236</c:v>
                </c:pt>
                <c:pt idx="70">
                  <c:v>-2.0213326075535782</c:v>
                </c:pt>
                <c:pt idx="71">
                  <c:v>-2.4414482077256805</c:v>
                </c:pt>
                <c:pt idx="72">
                  <c:v>-2.8539957880322087</c:v>
                </c:pt>
                <c:pt idx="73">
                  <c:v>-6.6806231254271875</c:v>
                </c:pt>
                <c:pt idx="74">
                  <c:v>-10.123596346167393</c:v>
                </c:pt>
                <c:pt idx="75">
                  <c:v>-13.285587342003387</c:v>
                </c:pt>
                <c:pt idx="76">
                  <c:v>-16.219563995068054</c:v>
                </c:pt>
                <c:pt idx="77">
                  <c:v>-18.960725113003143</c:v>
                </c:pt>
                <c:pt idx="78">
                  <c:v>-21.53544338942708</c:v>
                </c:pt>
                <c:pt idx="79">
                  <c:v>-23.964747245678936</c:v>
                </c:pt>
                <c:pt idx="80">
                  <c:v>-26.265949102953783</c:v>
                </c:pt>
                <c:pt idx="81">
                  <c:v>-28.453558247748102</c:v>
                </c:pt>
                <c:pt idx="82">
                  <c:v>-30.539870031316607</c:v>
                </c:pt>
                <c:pt idx="83">
                  <c:v>-32.535382853466942</c:v>
                </c:pt>
                <c:pt idx="84">
                  <c:v>-34.449111305776341</c:v>
                </c:pt>
                <c:pt idx="85">
                  <c:v>-36.288830927669856</c:v>
                </c:pt>
                <c:pt idx="86">
                  <c:v>-38.06127484490932</c:v>
                </c:pt>
                <c:pt idx="87">
                  <c:v>-39.772294719831201</c:v>
                </c:pt>
                <c:pt idx="88">
                  <c:v>-41.42699411079758</c:v>
                </c:pt>
                <c:pt idx="89">
                  <c:v>-43.029839835423651</c:v>
                </c:pt>
                <c:pt idx="90">
                  <c:v>-44.584755422753162</c:v>
                </c:pt>
              </c:numCache>
            </c:numRef>
          </c:yVal>
          <c:smooth val="1"/>
          <c:extLst>
            <c:ext xmlns:c16="http://schemas.microsoft.com/office/drawing/2014/chart" uri="{C3380CC4-5D6E-409C-BE32-E72D297353CC}">
              <c16:uniqueId val="{00000000-E76C-42B5-8C8A-14989DB1AFC7}"/>
            </c:ext>
          </c:extLst>
        </c:ser>
        <c:dLbls>
          <c:showLegendKey val="0"/>
          <c:showVal val="0"/>
          <c:showCatName val="0"/>
          <c:showSerName val="0"/>
          <c:showPercent val="0"/>
          <c:showBubbleSize val="0"/>
        </c:dLbls>
        <c:axId val="163268096"/>
        <c:axId val="163270016"/>
      </c:scatterChart>
      <c:scatterChart>
        <c:scatterStyle val="smoothMarker"/>
        <c:varyColors val="0"/>
        <c:ser>
          <c:idx val="1"/>
          <c:order val="1"/>
          <c:tx>
            <c:v>Phase</c:v>
          </c:tx>
          <c:spPr>
            <a:ln>
              <a:solidFill>
                <a:schemeClr val="tx1"/>
              </a:solidFill>
              <a:prstDash val="sysDot"/>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loop_gain!$AD$113:$AD$203</c:f>
              <c:numCache>
                <c:formatCode>General</c:formatCode>
                <c:ptCount val="91"/>
                <c:pt idx="0">
                  <c:v>-6.8607441697931515</c:v>
                </c:pt>
                <c:pt idx="1">
                  <c:v>-10.233659047012173</c:v>
                </c:pt>
                <c:pt idx="2">
                  <c:v>-13.54020308173615</c:v>
                </c:pt>
                <c:pt idx="3">
                  <c:v>-16.762279908467686</c:v>
                </c:pt>
                <c:pt idx="4">
                  <c:v>-19.884756505323224</c:v>
                </c:pt>
                <c:pt idx="5">
                  <c:v>-22.895690950114428</c:v>
                </c:pt>
                <c:pt idx="6">
                  <c:v>-25.786341363470367</c:v>
                </c:pt>
                <c:pt idx="7">
                  <c:v>-28.550995368352357</c:v>
                </c:pt>
                <c:pt idx="8">
                  <c:v>-31.186670621815757</c:v>
                </c:pt>
                <c:pt idx="9">
                  <c:v>-33.692738156729192</c:v>
                </c:pt>
                <c:pt idx="10">
                  <c:v>-36.070514212919242</c:v>
                </c:pt>
                <c:pt idx="11">
                  <c:v>-38.322856266042749</c:v>
                </c:pt>
                <c:pt idx="12">
                  <c:v>-40.453787954081008</c:v>
                </c:pt>
                <c:pt idx="13">
                  <c:v>-42.468167523488461</c:v>
                </c:pt>
                <c:pt idx="14">
                  <c:v>-44.371406296988042</c:v>
                </c:pt>
                <c:pt idx="15">
                  <c:v>-46.169237793462464</c:v>
                </c:pt>
                <c:pt idx="16">
                  <c:v>-47.867534334589649</c:v>
                </c:pt>
                <c:pt idx="17">
                  <c:v>-49.472165857072433</c:v>
                </c:pt>
                <c:pt idx="18">
                  <c:v>-50.988894762831357</c:v>
                </c:pt>
                <c:pt idx="19">
                  <c:v>-62.418214025426231</c:v>
                </c:pt>
                <c:pt idx="20">
                  <c:v>-69.532941636071072</c:v>
                </c:pt>
                <c:pt idx="21">
                  <c:v>-74.383503464052581</c:v>
                </c:pt>
                <c:pt idx="22">
                  <c:v>-77.946485140640348</c:v>
                </c:pt>
                <c:pt idx="23">
                  <c:v>-80.719330472714546</c:v>
                </c:pt>
                <c:pt idx="24">
                  <c:v>-82.975878176974646</c:v>
                </c:pt>
                <c:pt idx="25">
                  <c:v>-84.877463027584753</c:v>
                </c:pt>
                <c:pt idx="26">
                  <c:v>-86.524643321325811</c:v>
                </c:pt>
                <c:pt idx="27">
                  <c:v>-87.983072002059174</c:v>
                </c:pt>
                <c:pt idx="28">
                  <c:v>-89.297292345680077</c:v>
                </c:pt>
                <c:pt idx="29">
                  <c:v>-90.498512674388124</c:v>
                </c:pt>
                <c:pt idx="30">
                  <c:v>-91.609200425057935</c:v>
                </c:pt>
                <c:pt idx="31">
                  <c:v>-92.645909519046427</c:v>
                </c:pt>
                <c:pt idx="32">
                  <c:v>-93.621082724591119</c:v>
                </c:pt>
                <c:pt idx="33">
                  <c:v>-94.54423632709323</c:v>
                </c:pt>
                <c:pt idx="34">
                  <c:v>-95.422759979781432</c:v>
                </c:pt>
                <c:pt idx="35">
                  <c:v>-96.262469680814107</c:v>
                </c:pt>
                <c:pt idx="36">
                  <c:v>-97.06799819958735</c:v>
                </c:pt>
                <c:pt idx="37">
                  <c:v>-103.81202129069392</c:v>
                </c:pt>
                <c:pt idx="38">
                  <c:v>-108.96945090986729</c:v>
                </c:pt>
                <c:pt idx="39">
                  <c:v>-112.99035542649236</c:v>
                </c:pt>
                <c:pt idx="40">
                  <c:v>-116.08435723863403</c:v>
                </c:pt>
                <c:pt idx="41">
                  <c:v>-118.40930296198502</c:v>
                </c:pt>
                <c:pt idx="42">
                  <c:v>-120.10078124633286</c:v>
                </c:pt>
                <c:pt idx="43">
                  <c:v>-121.27557697787942</c:v>
                </c:pt>
                <c:pt idx="44">
                  <c:v>-122.03224779729564</c:v>
                </c:pt>
                <c:pt idx="45">
                  <c:v>-122.45250144636987</c:v>
                </c:pt>
                <c:pt idx="46">
                  <c:v>-122.60329829216565</c:v>
                </c:pt>
                <c:pt idx="47">
                  <c:v>-122.53916560274719</c:v>
                </c:pt>
                <c:pt idx="48">
                  <c:v>-122.30438331139264</c:v>
                </c:pt>
                <c:pt idx="49">
                  <c:v>-121.93489096293303</c:v>
                </c:pt>
                <c:pt idx="50">
                  <c:v>-121.45988081465994</c:v>
                </c:pt>
                <c:pt idx="51">
                  <c:v>-120.9030974092822</c:v>
                </c:pt>
                <c:pt idx="52">
                  <c:v>-120.28388455250328</c:v>
                </c:pt>
                <c:pt idx="53">
                  <c:v>-119.61802405053297</c:v>
                </c:pt>
                <c:pt idx="54">
                  <c:v>-118.91840665582579</c:v>
                </c:pt>
                <c:pt idx="55">
                  <c:v>-111.65550574807361</c:v>
                </c:pt>
                <c:pt idx="56">
                  <c:v>-105.82361674748455</c:v>
                </c:pt>
                <c:pt idx="57">
                  <c:v>-101.87088552992982</c:v>
                </c:pt>
                <c:pt idx="58">
                  <c:v>-99.499617501343849</c:v>
                </c:pt>
                <c:pt idx="59">
                  <c:v>-98.357764273348124</c:v>
                </c:pt>
                <c:pt idx="60">
                  <c:v>-98.150441139618067</c:v>
                </c:pt>
                <c:pt idx="61">
                  <c:v>-98.647504022770093</c:v>
                </c:pt>
                <c:pt idx="62">
                  <c:v>-99.67299883946373</c:v>
                </c:pt>
                <c:pt idx="63">
                  <c:v>-101.09327627224643</c:v>
                </c:pt>
                <c:pt idx="64">
                  <c:v>-102.80697453630147</c:v>
                </c:pt>
                <c:pt idx="65">
                  <c:v>-104.73717438812234</c:v>
                </c:pt>
                <c:pt idx="66">
                  <c:v>-106.82541481657279</c:v>
                </c:pt>
                <c:pt idx="67">
                  <c:v>-109.02717657345764</c:v>
                </c:pt>
                <c:pt idx="68">
                  <c:v>-111.30848749439832</c:v>
                </c:pt>
                <c:pt idx="69">
                  <c:v>-113.64337324439678</c:v>
                </c:pt>
                <c:pt idx="70">
                  <c:v>-116.01194129178765</c:v>
                </c:pt>
                <c:pt idx="71">
                  <c:v>-118.39893812443815</c:v>
                </c:pt>
                <c:pt idx="72">
                  <c:v>-120.79266012753835</c:v>
                </c:pt>
                <c:pt idx="73">
                  <c:v>-143.87105934012547</c:v>
                </c:pt>
                <c:pt idx="74">
                  <c:v>-164.30710399482678</c:v>
                </c:pt>
                <c:pt idx="75">
                  <c:v>-182.17957220405964</c:v>
                </c:pt>
                <c:pt idx="76">
                  <c:v>-197.927207347864</c:v>
                </c:pt>
                <c:pt idx="77">
                  <c:v>-211.94496467081811</c:v>
                </c:pt>
                <c:pt idx="78">
                  <c:v>-224.54776502043097</c:v>
                </c:pt>
                <c:pt idx="79">
                  <c:v>-235.98121232822749</c:v>
                </c:pt>
                <c:pt idx="80">
                  <c:v>-246.43694222256957</c:v>
                </c:pt>
                <c:pt idx="81">
                  <c:v>-256.0655960940374</c:v>
                </c:pt>
                <c:pt idx="82">
                  <c:v>-264.98672610990843</c:v>
                </c:pt>
                <c:pt idx="83">
                  <c:v>-273.29616383574768</c:v>
                </c:pt>
                <c:pt idx="84">
                  <c:v>-281.07149134951254</c:v>
                </c:pt>
                <c:pt idx="85">
                  <c:v>-288.3761288657372</c:v>
                </c:pt>
                <c:pt idx="86">
                  <c:v>-295.26241467854248</c:v>
                </c:pt>
                <c:pt idx="87">
                  <c:v>-301.77394566121166</c:v>
                </c:pt>
                <c:pt idx="88">
                  <c:v>-307.94736994911136</c:v>
                </c:pt>
                <c:pt idx="89">
                  <c:v>-313.81376999993444</c:v>
                </c:pt>
                <c:pt idx="90">
                  <c:v>-319.39973682476267</c:v>
                </c:pt>
              </c:numCache>
            </c:numRef>
          </c:yVal>
          <c:smooth val="1"/>
          <c:extLst>
            <c:ext xmlns:c16="http://schemas.microsoft.com/office/drawing/2014/chart" uri="{C3380CC4-5D6E-409C-BE32-E72D297353CC}">
              <c16:uniqueId val="{00000001-E76C-42B5-8C8A-14989DB1AFC7}"/>
            </c:ext>
          </c:extLst>
        </c:ser>
        <c:dLbls>
          <c:showLegendKey val="0"/>
          <c:showVal val="0"/>
          <c:showCatName val="0"/>
          <c:showSerName val="0"/>
          <c:showPercent val="0"/>
          <c:showBubbleSize val="0"/>
        </c:dLbls>
        <c:axId val="163278208"/>
        <c:axId val="163276288"/>
      </c:scatterChart>
      <c:valAx>
        <c:axId val="163268096"/>
        <c:scaling>
          <c:logBase val="10"/>
          <c:orientation val="minMax"/>
        </c:scaling>
        <c:delete val="0"/>
        <c:axPos val="b"/>
        <c:majorGridlines/>
        <c:minorGridlines/>
        <c:title>
          <c:tx>
            <c:rich>
              <a:bodyPr/>
              <a:lstStyle/>
              <a:p>
                <a:pPr>
                  <a:defRPr/>
                </a:pPr>
                <a:r>
                  <a:rPr lang="en-US"/>
                  <a:t>Frequency (Hz)</a:t>
                </a:r>
              </a:p>
            </c:rich>
          </c:tx>
          <c:overlay val="0"/>
        </c:title>
        <c:numFmt formatCode="#,##0.0" sourceLinked="1"/>
        <c:majorTickMark val="out"/>
        <c:minorTickMark val="none"/>
        <c:tickLblPos val="nextTo"/>
        <c:crossAx val="163270016"/>
        <c:crossesAt val="-80"/>
        <c:crossBetween val="midCat"/>
      </c:valAx>
      <c:valAx>
        <c:axId val="163270016"/>
        <c:scaling>
          <c:orientation val="minMax"/>
          <c:max val="80"/>
          <c:min val="-80"/>
        </c:scaling>
        <c:delete val="0"/>
        <c:axPos val="l"/>
        <c:majorGridlines/>
        <c:title>
          <c:tx>
            <c:rich>
              <a:bodyPr rot="-5400000" vert="horz"/>
              <a:lstStyle/>
              <a:p>
                <a:pPr>
                  <a:defRPr/>
                </a:pPr>
                <a:r>
                  <a:rPr lang="en-US"/>
                  <a:t>Loop Gain (dB)</a:t>
                </a:r>
              </a:p>
            </c:rich>
          </c:tx>
          <c:overlay val="0"/>
        </c:title>
        <c:numFmt formatCode="0.00" sourceLinked="1"/>
        <c:majorTickMark val="out"/>
        <c:minorTickMark val="none"/>
        <c:tickLblPos val="nextTo"/>
        <c:crossAx val="163268096"/>
        <c:crosses val="autoZero"/>
        <c:crossBetween val="midCat"/>
      </c:valAx>
      <c:valAx>
        <c:axId val="163276288"/>
        <c:scaling>
          <c:orientation val="minMax"/>
          <c:max val="180"/>
          <c:min val="-180"/>
        </c:scaling>
        <c:delete val="0"/>
        <c:axPos val="r"/>
        <c:majorGridlines/>
        <c:title>
          <c:tx>
            <c:rich>
              <a:bodyPr rot="-5400000" vert="horz"/>
              <a:lstStyle/>
              <a:p>
                <a:pPr>
                  <a:defRPr/>
                </a:pPr>
                <a:r>
                  <a:rPr lang="en-US"/>
                  <a:t>Loop Phase (°)</a:t>
                </a:r>
              </a:p>
            </c:rich>
          </c:tx>
          <c:overlay val="0"/>
        </c:title>
        <c:numFmt formatCode="General" sourceLinked="1"/>
        <c:majorTickMark val="out"/>
        <c:minorTickMark val="none"/>
        <c:tickLblPos val="nextTo"/>
        <c:crossAx val="163278208"/>
        <c:crosses val="max"/>
        <c:crossBetween val="midCat"/>
        <c:majorUnit val="45"/>
      </c:valAx>
      <c:valAx>
        <c:axId val="163278208"/>
        <c:scaling>
          <c:logBase val="10"/>
          <c:orientation val="minMax"/>
        </c:scaling>
        <c:delete val="1"/>
        <c:axPos val="b"/>
        <c:numFmt formatCode="#,##0.0" sourceLinked="1"/>
        <c:majorTickMark val="out"/>
        <c:minorTickMark val="none"/>
        <c:tickLblPos val="nextTo"/>
        <c:crossAx val="163276288"/>
        <c:crosses val="autoZero"/>
        <c:crossBetween val="midCat"/>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Second</c:v>
          </c:tx>
          <c:marker>
            <c:symbol val="none"/>
          </c:marker>
          <c:xVal>
            <c:numRef>
              <c:f>EA_para!$A$51:$A$116</c:f>
              <c:numCache>
                <c:formatCode>#,##0.00</c:formatCode>
                <c:ptCount val="66"/>
                <c:pt idx="0">
                  <c:v>0.1</c:v>
                </c:pt>
                <c:pt idx="1">
                  <c:v>0.2</c:v>
                </c:pt>
                <c:pt idx="2">
                  <c:v>0.30000000000000004</c:v>
                </c:pt>
                <c:pt idx="3">
                  <c:v>0.4</c:v>
                </c:pt>
                <c:pt idx="4">
                  <c:v>0.5</c:v>
                </c:pt>
                <c:pt idx="5">
                  <c:v>0.6</c:v>
                </c:pt>
                <c:pt idx="6">
                  <c:v>0.7</c:v>
                </c:pt>
                <c:pt idx="7">
                  <c:v>0.79999999999999993</c:v>
                </c:pt>
                <c:pt idx="8">
                  <c:v>0.89999999999999991</c:v>
                </c:pt>
                <c:pt idx="9">
                  <c:v>0.99999999999999989</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pt idx="37">
                  <c:v>2000</c:v>
                </c:pt>
                <c:pt idx="38">
                  <c:v>3000</c:v>
                </c:pt>
                <c:pt idx="39">
                  <c:v>4000</c:v>
                </c:pt>
                <c:pt idx="40">
                  <c:v>5000</c:v>
                </c:pt>
                <c:pt idx="41">
                  <c:v>6000</c:v>
                </c:pt>
                <c:pt idx="42">
                  <c:v>7000</c:v>
                </c:pt>
                <c:pt idx="43">
                  <c:v>8000</c:v>
                </c:pt>
                <c:pt idx="44">
                  <c:v>9000</c:v>
                </c:pt>
                <c:pt idx="45">
                  <c:v>10000</c:v>
                </c:pt>
                <c:pt idx="46">
                  <c:v>20000</c:v>
                </c:pt>
                <c:pt idx="47">
                  <c:v>30000</c:v>
                </c:pt>
                <c:pt idx="48">
                  <c:v>40000</c:v>
                </c:pt>
                <c:pt idx="49">
                  <c:v>50000</c:v>
                </c:pt>
                <c:pt idx="50">
                  <c:v>60000</c:v>
                </c:pt>
                <c:pt idx="51">
                  <c:v>70000</c:v>
                </c:pt>
                <c:pt idx="52">
                  <c:v>80000</c:v>
                </c:pt>
                <c:pt idx="53">
                  <c:v>90000</c:v>
                </c:pt>
                <c:pt idx="54">
                  <c:v>100000</c:v>
                </c:pt>
                <c:pt idx="55">
                  <c:v>200000</c:v>
                </c:pt>
                <c:pt idx="56">
                  <c:v>300000</c:v>
                </c:pt>
                <c:pt idx="57">
                  <c:v>400000</c:v>
                </c:pt>
                <c:pt idx="58">
                  <c:v>500000</c:v>
                </c:pt>
                <c:pt idx="59">
                  <c:v>600000</c:v>
                </c:pt>
                <c:pt idx="60">
                  <c:v>700000</c:v>
                </c:pt>
                <c:pt idx="61">
                  <c:v>800000</c:v>
                </c:pt>
                <c:pt idx="62">
                  <c:v>900000</c:v>
                </c:pt>
                <c:pt idx="63">
                  <c:v>1000000</c:v>
                </c:pt>
                <c:pt idx="64">
                  <c:v>2000000</c:v>
                </c:pt>
                <c:pt idx="65">
                  <c:v>3000000</c:v>
                </c:pt>
              </c:numCache>
            </c:numRef>
          </c:xVal>
          <c:yVal>
            <c:numRef>
              <c:f>EA_para!$E$51:$E$116</c:f>
              <c:numCache>
                <c:formatCode>General</c:formatCode>
                <c:ptCount val="66"/>
                <c:pt idx="0">
                  <c:v>-7.0974501538324832E-13</c:v>
                </c:pt>
                <c:pt idx="1">
                  <c:v>-2.844766026332663E-12</c:v>
                </c:pt>
                <c:pt idx="2">
                  <c:v>-6.4031343779161858E-12</c:v>
                </c:pt>
                <c:pt idx="3">
                  <c:v>-1.138099276026935E-11</c:v>
                </c:pt>
                <c:pt idx="4">
                  <c:v>-1.7782198483260816E-11</c:v>
                </c:pt>
                <c:pt idx="5">
                  <c:v>-2.5608680201826845E-11</c:v>
                </c:pt>
                <c:pt idx="6">
                  <c:v>-3.485465195117194E-11</c:v>
                </c:pt>
                <c:pt idx="7">
                  <c:v>-4.5523971041166879E-11</c:v>
                </c:pt>
                <c:pt idx="8">
                  <c:v>-5.7616637471816895E-11</c:v>
                </c:pt>
                <c:pt idx="9">
                  <c:v>-7.113265124312794E-11</c:v>
                </c:pt>
                <c:pt idx="10">
                  <c:v>-2.8453060497600696E-10</c:v>
                </c:pt>
                <c:pt idx="11">
                  <c:v>-6.4019000389925635E-10</c:v>
                </c:pt>
                <c:pt idx="12">
                  <c:v>-1.138114705340218E-9</c:v>
                </c:pt>
                <c:pt idx="13">
                  <c:v>-1.7783066379782922E-9</c:v>
                </c:pt>
                <c:pt idx="14">
                  <c:v>-2.560760015880135E-9</c:v>
                </c:pt>
                <c:pt idx="15">
                  <c:v>-3.4854806250489939E-9</c:v>
                </c:pt>
                <c:pt idx="16">
                  <c:v>-4.5524646082204399E-9</c:v>
                </c:pt>
                <c:pt idx="17">
                  <c:v>-5.7617119654468995E-9</c:v>
                </c:pt>
                <c:pt idx="18">
                  <c:v>-7.1132246254427251E-9</c:v>
                </c:pt>
                <c:pt idx="19">
                  <c:v>-2.8452900465377674E-8</c:v>
                </c:pt>
                <c:pt idx="20">
                  <c:v>-6.4019029553315324E-8</c:v>
                </c:pt>
                <c:pt idx="21">
                  <c:v>-1.1381160627805007E-7</c:v>
                </c:pt>
                <c:pt idx="22">
                  <c:v>-1.7783063474155471E-7</c:v>
                </c:pt>
                <c:pt idx="23">
                  <c:v>-2.5607610947243079E-7</c:v>
                </c:pt>
                <c:pt idx="24">
                  <c:v>-3.485480337481311E-7</c:v>
                </c:pt>
                <c:pt idx="25">
                  <c:v>-4.5524640609437444E-7</c:v>
                </c:pt>
                <c:pt idx="26">
                  <c:v>-5.7617122703543828E-7</c:v>
                </c:pt>
                <c:pt idx="27">
                  <c:v>-7.1132249137953855E-7</c:v>
                </c:pt>
                <c:pt idx="28">
                  <c:v>-2.8452892648836507E-6</c:v>
                </c:pt>
                <c:pt idx="29">
                  <c:v>-6.4018982388577126E-6</c:v>
                </c:pt>
                <c:pt idx="30">
                  <c:v>-1.138114592844145E-5</c:v>
                </c:pt>
                <c:pt idx="31">
                  <c:v>-1.7783027467738508E-5</c:v>
                </c:pt>
                <c:pt idx="32">
                  <c:v>-2.5607536596301898E-5</c:v>
                </c:pt>
                <c:pt idx="33">
                  <c:v>-3.4854665657187352E-5</c:v>
                </c:pt>
                <c:pt idx="34">
                  <c:v>-4.5524405608503348E-5</c:v>
                </c:pt>
                <c:pt idx="35">
                  <c:v>-5.7616746013741869E-5</c:v>
                </c:pt>
                <c:pt idx="36">
                  <c:v>-7.1131675046570122E-5</c:v>
                </c:pt>
                <c:pt idx="37">
                  <c:v>-2.8451974318066426E-4</c:v>
                </c:pt>
                <c:pt idx="38">
                  <c:v>-6.4014333566329374E-4</c:v>
                </c:pt>
                <c:pt idx="39">
                  <c:v>-1.1379676788343899E-3</c:v>
                </c:pt>
                <c:pt idx="40">
                  <c:v>-1.7779441054805271E-3</c:v>
                </c:pt>
                <c:pt idx="41">
                  <c:v>-2.5600100707152697E-3</c:v>
                </c:pt>
                <c:pt idx="42">
                  <c:v>-3.4840891724014981E-3</c:v>
                </c:pt>
                <c:pt idx="43">
                  <c:v>-4.550091176061948E-3</c:v>
                </c:pt>
                <c:pt idx="44">
                  <c:v>-5.7579120443030634E-3</c:v>
                </c:pt>
                <c:pt idx="45">
                  <c:v>-7.1074339706853947E-3</c:v>
                </c:pt>
                <c:pt idx="46">
                  <c:v>-2.8360539053225872E-2</c:v>
                </c:pt>
                <c:pt idx="47">
                  <c:v>-6.3553959948277908E-2</c:v>
                </c:pt>
                <c:pt idx="48">
                  <c:v>-0.11235273836555421</c:v>
                </c:pt>
                <c:pt idx="49">
                  <c:v>-0.17430275557620284</c:v>
                </c:pt>
                <c:pt idx="50">
                  <c:v>-0.24884439393321964</c:v>
                </c:pt>
                <c:pt idx="51">
                  <c:v>-0.335328585748358</c:v>
                </c:pt>
                <c:pt idx="52">
                  <c:v>-0.43303433762109822</c:v>
                </c:pt>
                <c:pt idx="53">
                  <c:v>-0.5411868209400309</c:v>
                </c:pt>
                <c:pt idx="54">
                  <c:v>-0.6589751939583488</c:v>
                </c:pt>
                <c:pt idx="55">
                  <c:v>-2.1910359378143616</c:v>
                </c:pt>
                <c:pt idx="56">
                  <c:v>-3.9431495522707758</c:v>
                </c:pt>
                <c:pt idx="57">
                  <c:v>-5.6072086747729273</c:v>
                </c:pt>
                <c:pt idx="58">
                  <c:v>-7.1047784898415864</c:v>
                </c:pt>
                <c:pt idx="59">
                  <c:v>-8.4375575374531113</c:v>
                </c:pt>
                <c:pt idx="60">
                  <c:v>-9.6272827490408694</c:v>
                </c:pt>
                <c:pt idx="61">
                  <c:v>-10.697304176521731</c:v>
                </c:pt>
                <c:pt idx="62">
                  <c:v>-11.66788158638256</c:v>
                </c:pt>
                <c:pt idx="63">
                  <c:v>-12.555556086306634</c:v>
                </c:pt>
                <c:pt idx="64">
                  <c:v>-18.84467488031737</c:v>
                </c:pt>
                <c:pt idx="65">
                  <c:v>-23.003272497570549</c:v>
                </c:pt>
              </c:numCache>
            </c:numRef>
          </c:yVal>
          <c:smooth val="1"/>
          <c:extLst>
            <c:ext xmlns:c16="http://schemas.microsoft.com/office/drawing/2014/chart" uri="{C3380CC4-5D6E-409C-BE32-E72D297353CC}">
              <c16:uniqueId val="{00000000-4E74-4062-A860-A57E01C65B7D}"/>
            </c:ext>
          </c:extLst>
        </c:ser>
        <c:ser>
          <c:idx val="1"/>
          <c:order val="1"/>
          <c:tx>
            <c:v>Third</c:v>
          </c:tx>
          <c:marker>
            <c:symbol val="none"/>
          </c:marker>
          <c:xVal>
            <c:numRef>
              <c:f>EA_para!$A$51:$A$116</c:f>
              <c:numCache>
                <c:formatCode>#,##0.00</c:formatCode>
                <c:ptCount val="66"/>
                <c:pt idx="0">
                  <c:v>0.1</c:v>
                </c:pt>
                <c:pt idx="1">
                  <c:v>0.2</c:v>
                </c:pt>
                <c:pt idx="2">
                  <c:v>0.30000000000000004</c:v>
                </c:pt>
                <c:pt idx="3">
                  <c:v>0.4</c:v>
                </c:pt>
                <c:pt idx="4">
                  <c:v>0.5</c:v>
                </c:pt>
                <c:pt idx="5">
                  <c:v>0.6</c:v>
                </c:pt>
                <c:pt idx="6">
                  <c:v>0.7</c:v>
                </c:pt>
                <c:pt idx="7">
                  <c:v>0.79999999999999993</c:v>
                </c:pt>
                <c:pt idx="8">
                  <c:v>0.89999999999999991</c:v>
                </c:pt>
                <c:pt idx="9">
                  <c:v>0.99999999999999989</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pt idx="37">
                  <c:v>2000</c:v>
                </c:pt>
                <c:pt idx="38">
                  <c:v>3000</c:v>
                </c:pt>
                <c:pt idx="39">
                  <c:v>4000</c:v>
                </c:pt>
                <c:pt idx="40">
                  <c:v>5000</c:v>
                </c:pt>
                <c:pt idx="41">
                  <c:v>6000</c:v>
                </c:pt>
                <c:pt idx="42">
                  <c:v>7000</c:v>
                </c:pt>
                <c:pt idx="43">
                  <c:v>8000</c:v>
                </c:pt>
                <c:pt idx="44">
                  <c:v>9000</c:v>
                </c:pt>
                <c:pt idx="45">
                  <c:v>10000</c:v>
                </c:pt>
                <c:pt idx="46">
                  <c:v>20000</c:v>
                </c:pt>
                <c:pt idx="47">
                  <c:v>30000</c:v>
                </c:pt>
                <c:pt idx="48">
                  <c:v>40000</c:v>
                </c:pt>
                <c:pt idx="49">
                  <c:v>50000</c:v>
                </c:pt>
                <c:pt idx="50">
                  <c:v>60000</c:v>
                </c:pt>
                <c:pt idx="51">
                  <c:v>70000</c:v>
                </c:pt>
                <c:pt idx="52">
                  <c:v>80000</c:v>
                </c:pt>
                <c:pt idx="53">
                  <c:v>90000</c:v>
                </c:pt>
                <c:pt idx="54">
                  <c:v>100000</c:v>
                </c:pt>
                <c:pt idx="55">
                  <c:v>200000</c:v>
                </c:pt>
                <c:pt idx="56">
                  <c:v>300000</c:v>
                </c:pt>
                <c:pt idx="57">
                  <c:v>400000</c:v>
                </c:pt>
                <c:pt idx="58">
                  <c:v>500000</c:v>
                </c:pt>
                <c:pt idx="59">
                  <c:v>600000</c:v>
                </c:pt>
                <c:pt idx="60">
                  <c:v>700000</c:v>
                </c:pt>
                <c:pt idx="61">
                  <c:v>800000</c:v>
                </c:pt>
                <c:pt idx="62">
                  <c:v>900000</c:v>
                </c:pt>
                <c:pt idx="63">
                  <c:v>1000000</c:v>
                </c:pt>
                <c:pt idx="64">
                  <c:v>2000000</c:v>
                </c:pt>
                <c:pt idx="65">
                  <c:v>3000000</c:v>
                </c:pt>
              </c:numCache>
            </c:numRef>
          </c:xVal>
          <c:yVal>
            <c:numRef>
              <c:f>EA_para!$J$51:$J$116</c:f>
              <c:numCache>
                <c:formatCode>General</c:formatCode>
                <c:ptCount val="66"/>
                <c:pt idx="0">
                  <c:v>-7.1167367031635508E-13</c:v>
                </c:pt>
                <c:pt idx="1">
                  <c:v>-2.8466946812657701E-12</c:v>
                </c:pt>
                <c:pt idx="2">
                  <c:v>-6.4031343779161858E-12</c:v>
                </c:pt>
                <c:pt idx="3">
                  <c:v>-1.138099276026935E-11</c:v>
                </c:pt>
                <c:pt idx="4">
                  <c:v>-1.7782198483260816E-11</c:v>
                </c:pt>
                <c:pt idx="5">
                  <c:v>-2.5608680201826845E-11</c:v>
                </c:pt>
                <c:pt idx="6">
                  <c:v>-3.485465195117194E-11</c:v>
                </c:pt>
                <c:pt idx="7">
                  <c:v>-4.5523971041166879E-11</c:v>
                </c:pt>
                <c:pt idx="8">
                  <c:v>-5.7616637471816895E-11</c:v>
                </c:pt>
                <c:pt idx="9">
                  <c:v>-7.113265124312794E-11</c:v>
                </c:pt>
                <c:pt idx="10">
                  <c:v>-2.8453060497600696E-10</c:v>
                </c:pt>
                <c:pt idx="11">
                  <c:v>-6.4019000389925635E-10</c:v>
                </c:pt>
                <c:pt idx="12">
                  <c:v>-1.138114705340218E-9</c:v>
                </c:pt>
                <c:pt idx="13">
                  <c:v>-1.7783066379782922E-9</c:v>
                </c:pt>
                <c:pt idx="14">
                  <c:v>-2.560760015880135E-9</c:v>
                </c:pt>
                <c:pt idx="15">
                  <c:v>-3.4854806250489939E-9</c:v>
                </c:pt>
                <c:pt idx="16">
                  <c:v>-4.5524646082204399E-9</c:v>
                </c:pt>
                <c:pt idx="17">
                  <c:v>-5.7617119654468995E-9</c:v>
                </c:pt>
                <c:pt idx="18">
                  <c:v>-7.1132246254427251E-9</c:v>
                </c:pt>
                <c:pt idx="19">
                  <c:v>-2.8452900465377674E-8</c:v>
                </c:pt>
                <c:pt idx="20">
                  <c:v>-6.4019029553315324E-8</c:v>
                </c:pt>
                <c:pt idx="21">
                  <c:v>-1.1381160627805007E-7</c:v>
                </c:pt>
                <c:pt idx="22">
                  <c:v>-1.778306328128997E-7</c:v>
                </c:pt>
                <c:pt idx="23">
                  <c:v>-2.560761114010858E-7</c:v>
                </c:pt>
                <c:pt idx="24">
                  <c:v>-3.485480337481311E-7</c:v>
                </c:pt>
                <c:pt idx="25">
                  <c:v>-4.5524640609437444E-7</c:v>
                </c:pt>
                <c:pt idx="26">
                  <c:v>-5.7617122510678322E-7</c:v>
                </c:pt>
                <c:pt idx="27">
                  <c:v>-7.1132248945088349E-7</c:v>
                </c:pt>
                <c:pt idx="28">
                  <c:v>-2.8452892648836507E-6</c:v>
                </c:pt>
                <c:pt idx="29">
                  <c:v>-6.401898236929055E-6</c:v>
                </c:pt>
                <c:pt idx="30">
                  <c:v>-1.138114592844145E-5</c:v>
                </c:pt>
                <c:pt idx="31">
                  <c:v>-1.7783027469667168E-5</c:v>
                </c:pt>
                <c:pt idx="32">
                  <c:v>-2.5607536596301898E-5</c:v>
                </c:pt>
                <c:pt idx="33">
                  <c:v>-3.4854665659116012E-5</c:v>
                </c:pt>
                <c:pt idx="34">
                  <c:v>-4.5524405608503348E-5</c:v>
                </c:pt>
                <c:pt idx="35">
                  <c:v>-5.7616746013741869E-5</c:v>
                </c:pt>
                <c:pt idx="36">
                  <c:v>-7.1131675046570122E-5</c:v>
                </c:pt>
                <c:pt idx="37">
                  <c:v>-2.8451974318066426E-4</c:v>
                </c:pt>
                <c:pt idx="38">
                  <c:v>-6.4014333566329374E-4</c:v>
                </c:pt>
                <c:pt idx="39">
                  <c:v>-1.1379676788343899E-3</c:v>
                </c:pt>
                <c:pt idx="40">
                  <c:v>-1.7779441054805271E-3</c:v>
                </c:pt>
                <c:pt idx="41">
                  <c:v>-2.5600100707152697E-3</c:v>
                </c:pt>
                <c:pt idx="42">
                  <c:v>-3.4840891724014981E-3</c:v>
                </c:pt>
                <c:pt idx="43">
                  <c:v>-4.5500911760638779E-3</c:v>
                </c:pt>
                <c:pt idx="44">
                  <c:v>-5.7579120443049933E-3</c:v>
                </c:pt>
                <c:pt idx="45">
                  <c:v>-7.1074339706853947E-3</c:v>
                </c:pt>
                <c:pt idx="46">
                  <c:v>-2.8360539053348743E-2</c:v>
                </c:pt>
                <c:pt idx="47">
                  <c:v>-6.3553959949677719E-2</c:v>
                </c:pt>
                <c:pt idx="48">
                  <c:v>-0.11235273837332529</c:v>
                </c:pt>
                <c:pt idx="49">
                  <c:v>-0.17430275560543373</c:v>
                </c:pt>
                <c:pt idx="50">
                  <c:v>-0.24884439401902159</c:v>
                </c:pt>
                <c:pt idx="51">
                  <c:v>-0.3353285859604524</c:v>
                </c:pt>
                <c:pt idx="52">
                  <c:v>-0.43303433808317221</c:v>
                </c:pt>
                <c:pt idx="53">
                  <c:v>-0.54118682185374645</c:v>
                </c:pt>
                <c:pt idx="54">
                  <c:v>-0.6589751956316614</c:v>
                </c:pt>
                <c:pt idx="55">
                  <c:v>-2.1910360130720332</c:v>
                </c:pt>
                <c:pt idx="56">
                  <c:v>-3.9431501249177208</c:v>
                </c:pt>
                <c:pt idx="57">
                  <c:v>-5.6072108681503749</c:v>
                </c:pt>
                <c:pt idx="58">
                  <c:v>-7.1047844165871599</c:v>
                </c:pt>
                <c:pt idx="59">
                  <c:v>-8.4375705578883196</c:v>
                </c:pt>
                <c:pt idx="60">
                  <c:v>-9.6273077141299552</c:v>
                </c:pt>
                <c:pt idx="61">
                  <c:v>-10.697347655740641</c:v>
                </c:pt>
                <c:pt idx="62">
                  <c:v>-11.667952078048851</c:v>
                </c:pt>
                <c:pt idx="63">
                  <c:v>-12.555664208136825</c:v>
                </c:pt>
                <c:pt idx="64">
                  <c:v>-18.84630082433851</c:v>
                </c:pt>
                <c:pt idx="65">
                  <c:v>-23.010376766936979</c:v>
                </c:pt>
              </c:numCache>
            </c:numRef>
          </c:yVal>
          <c:smooth val="1"/>
          <c:extLst>
            <c:ext xmlns:c16="http://schemas.microsoft.com/office/drawing/2014/chart" uri="{C3380CC4-5D6E-409C-BE32-E72D297353CC}">
              <c16:uniqueId val="{00000001-4E74-4062-A860-A57E01C65B7D}"/>
            </c:ext>
          </c:extLst>
        </c:ser>
        <c:ser>
          <c:idx val="2"/>
          <c:order val="2"/>
          <c:tx>
            <c:v>First</c:v>
          </c:tx>
          <c:marker>
            <c:symbol val="none"/>
          </c:marker>
          <c:xVal>
            <c:numRef>
              <c:f>EA_para!$A$51:$A$116</c:f>
              <c:numCache>
                <c:formatCode>#,##0.00</c:formatCode>
                <c:ptCount val="66"/>
                <c:pt idx="0">
                  <c:v>0.1</c:v>
                </c:pt>
                <c:pt idx="1">
                  <c:v>0.2</c:v>
                </c:pt>
                <c:pt idx="2">
                  <c:v>0.30000000000000004</c:v>
                </c:pt>
                <c:pt idx="3">
                  <c:v>0.4</c:v>
                </c:pt>
                <c:pt idx="4">
                  <c:v>0.5</c:v>
                </c:pt>
                <c:pt idx="5">
                  <c:v>0.6</c:v>
                </c:pt>
                <c:pt idx="6">
                  <c:v>0.7</c:v>
                </c:pt>
                <c:pt idx="7">
                  <c:v>0.79999999999999993</c:v>
                </c:pt>
                <c:pt idx="8">
                  <c:v>0.89999999999999991</c:v>
                </c:pt>
                <c:pt idx="9">
                  <c:v>0.99999999999999989</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pt idx="37">
                  <c:v>2000</c:v>
                </c:pt>
                <c:pt idx="38">
                  <c:v>3000</c:v>
                </c:pt>
                <c:pt idx="39">
                  <c:v>4000</c:v>
                </c:pt>
                <c:pt idx="40">
                  <c:v>5000</c:v>
                </c:pt>
                <c:pt idx="41">
                  <c:v>6000</c:v>
                </c:pt>
                <c:pt idx="42">
                  <c:v>7000</c:v>
                </c:pt>
                <c:pt idx="43">
                  <c:v>8000</c:v>
                </c:pt>
                <c:pt idx="44">
                  <c:v>9000</c:v>
                </c:pt>
                <c:pt idx="45">
                  <c:v>10000</c:v>
                </c:pt>
                <c:pt idx="46">
                  <c:v>20000</c:v>
                </c:pt>
                <c:pt idx="47">
                  <c:v>30000</c:v>
                </c:pt>
                <c:pt idx="48">
                  <c:v>40000</c:v>
                </c:pt>
                <c:pt idx="49">
                  <c:v>50000</c:v>
                </c:pt>
                <c:pt idx="50">
                  <c:v>60000</c:v>
                </c:pt>
                <c:pt idx="51">
                  <c:v>70000</c:v>
                </c:pt>
                <c:pt idx="52">
                  <c:v>80000</c:v>
                </c:pt>
                <c:pt idx="53">
                  <c:v>90000</c:v>
                </c:pt>
                <c:pt idx="54">
                  <c:v>100000</c:v>
                </c:pt>
                <c:pt idx="55">
                  <c:v>200000</c:v>
                </c:pt>
                <c:pt idx="56">
                  <c:v>300000</c:v>
                </c:pt>
                <c:pt idx="57">
                  <c:v>400000</c:v>
                </c:pt>
                <c:pt idx="58">
                  <c:v>500000</c:v>
                </c:pt>
                <c:pt idx="59">
                  <c:v>600000</c:v>
                </c:pt>
                <c:pt idx="60">
                  <c:v>700000</c:v>
                </c:pt>
                <c:pt idx="61">
                  <c:v>800000</c:v>
                </c:pt>
                <c:pt idx="62">
                  <c:v>900000</c:v>
                </c:pt>
                <c:pt idx="63">
                  <c:v>1000000</c:v>
                </c:pt>
                <c:pt idx="64">
                  <c:v>2000000</c:v>
                </c:pt>
                <c:pt idx="65">
                  <c:v>3000000</c:v>
                </c:pt>
              </c:numCache>
            </c:numRef>
          </c:xVal>
          <c:yVal>
            <c:numRef>
              <c:f>EA_para!$P$51:$P$116</c:f>
              <c:numCache>
                <c:formatCode>0.00E+00</c:formatCode>
                <c:ptCount val="66"/>
                <c:pt idx="0">
                  <c:v>-7.7917659297509087E-13</c:v>
                </c:pt>
                <c:pt idx="1">
                  <c:v>-3.1205636817669977E-12</c:v>
                </c:pt>
                <c:pt idx="2">
                  <c:v>-7.024161266376984E-12</c:v>
                </c:pt>
                <c:pt idx="3">
                  <c:v>-1.2486112036940936E-11</c:v>
                </c:pt>
                <c:pt idx="4">
                  <c:v>-1.9510273303328018E-11</c:v>
                </c:pt>
                <c:pt idx="5">
                  <c:v>-2.8096645065542018E-11</c:v>
                </c:pt>
                <c:pt idx="6">
                  <c:v>-3.8241370013721334E-11</c:v>
                </c:pt>
                <c:pt idx="7">
                  <c:v>-4.9948305457737675E-11</c:v>
                </c:pt>
                <c:pt idx="8">
                  <c:v>-6.32135940877311E-11</c:v>
                </c:pt>
                <c:pt idx="9">
                  <c:v>-7.804109321357501E-11</c:v>
                </c:pt>
                <c:pt idx="10">
                  <c:v>-3.1217015882330669E-10</c:v>
                </c:pt>
                <c:pt idx="11">
                  <c:v>-7.023814108770173E-10</c:v>
                </c:pt>
                <c:pt idx="12">
                  <c:v>-1.2486806353605429E-9</c:v>
                </c:pt>
                <c:pt idx="13">
                  <c:v>-1.9510620463385346E-9</c:v>
                </c:pt>
                <c:pt idx="14">
                  <c:v>-2.8095295011587239E-9</c:v>
                </c:pt>
                <c:pt idx="15">
                  <c:v>-3.8240810712124573E-9</c:v>
                </c:pt>
                <c:pt idx="16">
                  <c:v>-4.9947186852093629E-9</c:v>
                </c:pt>
                <c:pt idx="17">
                  <c:v>-6.321440414557615E-9</c:v>
                </c:pt>
                <c:pt idx="18">
                  <c:v>-7.8042481879836743E-9</c:v>
                </c:pt>
                <c:pt idx="19">
                  <c:v>-3.1216992794007267E-8</c:v>
                </c:pt>
                <c:pt idx="20">
                  <c:v>-7.0238232979961035E-8</c:v>
                </c:pt>
                <c:pt idx="21">
                  <c:v>-1.2486796992053531E-7</c:v>
                </c:pt>
                <c:pt idx="22">
                  <c:v>-1.9510620005292816E-7</c:v>
                </c:pt>
                <c:pt idx="23">
                  <c:v>-2.8095292664877516E-7</c:v>
                </c:pt>
                <c:pt idx="24">
                  <c:v>-3.8240814534923713E-7</c:v>
                </c:pt>
                <c:pt idx="25">
                  <c:v>-4.9947185573692969E-7</c:v>
                </c:pt>
                <c:pt idx="26">
                  <c:v>-6.3214405844294127E-7</c:v>
                </c:pt>
                <c:pt idx="27">
                  <c:v>-7.8042475032519519E-7</c:v>
                </c:pt>
                <c:pt idx="28">
                  <c:v>-3.1216981597214323E-6</c:v>
                </c:pt>
                <c:pt idx="29">
                  <c:v>-7.0238177044123486E-6</c:v>
                </c:pt>
                <c:pt idx="30">
                  <c:v>-1.2486779176487973E-5</c:v>
                </c:pt>
                <c:pt idx="31">
                  <c:v>-1.9510576684855815E-5</c:v>
                </c:pt>
                <c:pt idx="32">
                  <c:v>-2.8095202658115347E-5</c:v>
                </c:pt>
                <c:pt idx="33">
                  <c:v>-3.8240647842605523E-5</c:v>
                </c:pt>
                <c:pt idx="34">
                  <c:v>-4.9946901293696678E-5</c:v>
                </c:pt>
                <c:pt idx="35">
                  <c:v>-6.3213950396971469E-5</c:v>
                </c:pt>
                <c:pt idx="36">
                  <c:v>-7.8041780841183806E-5</c:v>
                </c:pt>
                <c:pt idx="37">
                  <c:v>-3.1215870935744744E-4</c:v>
                </c:pt>
                <c:pt idx="38">
                  <c:v>-7.0232554653820332E-4</c:v>
                </c:pt>
                <c:pt idx="39">
                  <c:v>-1.248500237442745E-3</c:v>
                </c:pt>
                <c:pt idx="40">
                  <c:v>-1.9506239263106682E-3</c:v>
                </c:pt>
                <c:pt idx="41">
                  <c:v>-2.8086209776893058E-3</c:v>
                </c:pt>
                <c:pt idx="42">
                  <c:v>-3.8223990035816469E-3</c:v>
                </c:pt>
                <c:pt idx="43">
                  <c:v>-4.9918488965772752E-3</c:v>
                </c:pt>
                <c:pt idx="44">
                  <c:v>-6.3168448689553949E-3</c:v>
                </c:pt>
                <c:pt idx="45">
                  <c:v>-7.7972444977166423E-3</c:v>
                </c:pt>
                <c:pt idx="46">
                  <c:v>-3.1105334032918326E-2</c:v>
                </c:pt>
                <c:pt idx="47">
                  <c:v>-6.9676304687078139E-2</c:v>
                </c:pt>
                <c:pt idx="48">
                  <c:v>-0.12310655774581494</c:v>
                </c:pt>
                <c:pt idx="49">
                  <c:v>-0.19085063319826634</c:v>
                </c:pt>
                <c:pt idx="50">
                  <c:v>-0.27223910912145166</c:v>
                </c:pt>
                <c:pt idx="51">
                  <c:v>-0.36649944294839853</c:v>
                </c:pt>
                <c:pt idx="52">
                  <c:v>-0.47277847722697619</c:v>
                </c:pt>
                <c:pt idx="53">
                  <c:v>-0.59016536329236968</c:v>
                </c:pt>
                <c:pt idx="54">
                  <c:v>-0.71771379065183094</c:v>
                </c:pt>
                <c:pt idx="55">
                  <c:v>-2.3522479496568178</c:v>
                </c:pt>
                <c:pt idx="56">
                  <c:v>-4.1785269242471381</c:v>
                </c:pt>
                <c:pt idx="57">
                  <c:v>-5.8829314559606702</c:v>
                </c:pt>
                <c:pt idx="58">
                  <c:v>-7.3976898978468144</c:v>
                </c:pt>
                <c:pt idx="59">
                  <c:v>-8.7327294935452731</c:v>
                </c:pt>
                <c:pt idx="60">
                  <c:v>-9.9145970461368869</c:v>
                </c:pt>
                <c:pt idx="61">
                  <c:v>-10.969365969052181</c:v>
                </c:pt>
                <c:pt idx="62">
                  <c:v>-11.918883282316843</c:v>
                </c:pt>
                <c:pt idx="63">
                  <c:v>-12.780660849475209</c:v>
                </c:pt>
                <c:pt idx="64">
                  <c:v>-18.62607066736355</c:v>
                </c:pt>
                <c:pt idx="65">
                  <c:v>-22.114663172459625</c:v>
                </c:pt>
              </c:numCache>
            </c:numRef>
          </c:yVal>
          <c:smooth val="1"/>
          <c:extLst>
            <c:ext xmlns:c16="http://schemas.microsoft.com/office/drawing/2014/chart" uri="{C3380CC4-5D6E-409C-BE32-E72D297353CC}">
              <c16:uniqueId val="{00000002-4E74-4062-A860-A57E01C65B7D}"/>
            </c:ext>
          </c:extLst>
        </c:ser>
        <c:dLbls>
          <c:showLegendKey val="0"/>
          <c:showVal val="0"/>
          <c:showCatName val="0"/>
          <c:showSerName val="0"/>
          <c:showPercent val="0"/>
          <c:showBubbleSize val="0"/>
        </c:dLbls>
        <c:axId val="161983488"/>
        <c:axId val="161989760"/>
      </c:scatterChart>
      <c:valAx>
        <c:axId val="161983488"/>
        <c:scaling>
          <c:logBase val="10"/>
          <c:orientation val="minMax"/>
        </c:scaling>
        <c:delete val="0"/>
        <c:axPos val="b"/>
        <c:majorGridlines/>
        <c:minorGridlines/>
        <c:title>
          <c:tx>
            <c:rich>
              <a:bodyPr/>
              <a:lstStyle/>
              <a:p>
                <a:pPr>
                  <a:defRPr/>
                </a:pPr>
                <a:r>
                  <a:rPr lang="en-US"/>
                  <a:t>Frequency (Hz)</a:t>
                </a:r>
              </a:p>
            </c:rich>
          </c:tx>
          <c:overlay val="0"/>
        </c:title>
        <c:numFmt formatCode="#,##0.00" sourceLinked="1"/>
        <c:majorTickMark val="out"/>
        <c:minorTickMark val="none"/>
        <c:tickLblPos val="nextTo"/>
        <c:crossAx val="161989760"/>
        <c:crossesAt val="-25"/>
        <c:crossBetween val="midCat"/>
      </c:valAx>
      <c:valAx>
        <c:axId val="161989760"/>
        <c:scaling>
          <c:orientation val="minMax"/>
        </c:scaling>
        <c:delete val="0"/>
        <c:axPos val="l"/>
        <c:majorGridlines/>
        <c:title>
          <c:tx>
            <c:rich>
              <a:bodyPr rot="-5400000" vert="horz"/>
              <a:lstStyle/>
              <a:p>
                <a:pPr>
                  <a:defRPr/>
                </a:pPr>
                <a:r>
                  <a:rPr lang="en-US"/>
                  <a:t>Magnitude (dB)</a:t>
                </a:r>
              </a:p>
            </c:rich>
          </c:tx>
          <c:overlay val="0"/>
        </c:title>
        <c:numFmt formatCode="General" sourceLinked="1"/>
        <c:majorTickMark val="out"/>
        <c:minorTickMark val="none"/>
        <c:tickLblPos val="nextTo"/>
        <c:crossAx val="161983488"/>
        <c:crossesAt val="0.1"/>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Second</c:v>
          </c:tx>
          <c:marker>
            <c:symbol val="none"/>
          </c:marker>
          <c:xVal>
            <c:numRef>
              <c:f>EA_para!$A$51:$A$116</c:f>
              <c:numCache>
                <c:formatCode>#,##0.00</c:formatCode>
                <c:ptCount val="66"/>
                <c:pt idx="0">
                  <c:v>0.1</c:v>
                </c:pt>
                <c:pt idx="1">
                  <c:v>0.2</c:v>
                </c:pt>
                <c:pt idx="2">
                  <c:v>0.30000000000000004</c:v>
                </c:pt>
                <c:pt idx="3">
                  <c:v>0.4</c:v>
                </c:pt>
                <c:pt idx="4">
                  <c:v>0.5</c:v>
                </c:pt>
                <c:pt idx="5">
                  <c:v>0.6</c:v>
                </c:pt>
                <c:pt idx="6">
                  <c:v>0.7</c:v>
                </c:pt>
                <c:pt idx="7">
                  <c:v>0.79999999999999993</c:v>
                </c:pt>
                <c:pt idx="8">
                  <c:v>0.89999999999999991</c:v>
                </c:pt>
                <c:pt idx="9">
                  <c:v>0.99999999999999989</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pt idx="37">
                  <c:v>2000</c:v>
                </c:pt>
                <c:pt idx="38">
                  <c:v>3000</c:v>
                </c:pt>
                <c:pt idx="39">
                  <c:v>4000</c:v>
                </c:pt>
                <c:pt idx="40">
                  <c:v>5000</c:v>
                </c:pt>
                <c:pt idx="41">
                  <c:v>6000</c:v>
                </c:pt>
                <c:pt idx="42">
                  <c:v>7000</c:v>
                </c:pt>
                <c:pt idx="43">
                  <c:v>8000</c:v>
                </c:pt>
                <c:pt idx="44">
                  <c:v>9000</c:v>
                </c:pt>
                <c:pt idx="45">
                  <c:v>10000</c:v>
                </c:pt>
                <c:pt idx="46">
                  <c:v>20000</c:v>
                </c:pt>
                <c:pt idx="47">
                  <c:v>30000</c:v>
                </c:pt>
                <c:pt idx="48">
                  <c:v>40000</c:v>
                </c:pt>
                <c:pt idx="49">
                  <c:v>50000</c:v>
                </c:pt>
                <c:pt idx="50">
                  <c:v>60000</c:v>
                </c:pt>
                <c:pt idx="51">
                  <c:v>70000</c:v>
                </c:pt>
                <c:pt idx="52">
                  <c:v>80000</c:v>
                </c:pt>
                <c:pt idx="53">
                  <c:v>90000</c:v>
                </c:pt>
                <c:pt idx="54">
                  <c:v>100000</c:v>
                </c:pt>
                <c:pt idx="55">
                  <c:v>200000</c:v>
                </c:pt>
                <c:pt idx="56">
                  <c:v>300000</c:v>
                </c:pt>
                <c:pt idx="57">
                  <c:v>400000</c:v>
                </c:pt>
                <c:pt idx="58">
                  <c:v>500000</c:v>
                </c:pt>
                <c:pt idx="59">
                  <c:v>600000</c:v>
                </c:pt>
                <c:pt idx="60">
                  <c:v>700000</c:v>
                </c:pt>
                <c:pt idx="61">
                  <c:v>800000</c:v>
                </c:pt>
                <c:pt idx="62">
                  <c:v>900000</c:v>
                </c:pt>
                <c:pt idx="63">
                  <c:v>1000000</c:v>
                </c:pt>
                <c:pt idx="64">
                  <c:v>2000000</c:v>
                </c:pt>
                <c:pt idx="65">
                  <c:v>3000000</c:v>
                </c:pt>
              </c:numCache>
            </c:numRef>
          </c:xVal>
          <c:yVal>
            <c:numRef>
              <c:f>EA_para!$F$51:$F$116</c:f>
              <c:numCache>
                <c:formatCode>0.00E+00</c:formatCode>
                <c:ptCount val="66"/>
                <c:pt idx="0">
                  <c:v>-2.4288954536004937E-5</c:v>
                </c:pt>
                <c:pt idx="1">
                  <c:v>-4.8577909072002299E-5</c:v>
                </c:pt>
                <c:pt idx="2">
                  <c:v>-7.2866863607984512E-5</c:v>
                </c:pt>
                <c:pt idx="3">
                  <c:v>-9.7155818143944059E-5</c:v>
                </c:pt>
                <c:pt idx="4">
                  <c:v>-1.2144477267987328E-4</c:v>
                </c:pt>
                <c:pt idx="5">
                  <c:v>-1.4573372721576465E-4</c:v>
                </c:pt>
                <c:pt idx="6">
                  <c:v>-1.7002268175161057E-4</c:v>
                </c:pt>
                <c:pt idx="7">
                  <c:v>-1.9431163628740359E-4</c:v>
                </c:pt>
                <c:pt idx="8">
                  <c:v>-2.1860059082313594E-4</c:v>
                </c:pt>
                <c:pt idx="9">
                  <c:v>-2.4288954535880026E-4</c:v>
                </c:pt>
                <c:pt idx="10">
                  <c:v>-4.8577909071003056E-4</c:v>
                </c:pt>
                <c:pt idx="11">
                  <c:v>-7.2866863604612074E-4</c:v>
                </c:pt>
                <c:pt idx="12">
                  <c:v>-9.7155818135950106E-4</c:v>
                </c:pt>
                <c:pt idx="13">
                  <c:v>-1.2144477266426011E-3</c:v>
                </c:pt>
                <c:pt idx="14">
                  <c:v>-1.4573372718878512E-3</c:v>
                </c:pt>
                <c:pt idx="15">
                  <c:v>-1.7002268170876814E-3</c:v>
                </c:pt>
                <c:pt idx="16">
                  <c:v>-1.9431163622345212E-3</c:v>
                </c:pt>
                <c:pt idx="17">
                  <c:v>-2.1860059073208014E-3</c:v>
                </c:pt>
                <c:pt idx="18">
                  <c:v>-2.4288954523389509E-3</c:v>
                </c:pt>
                <c:pt idx="19">
                  <c:v>-4.8577908971078913E-3</c:v>
                </c:pt>
                <c:pt idx="20">
                  <c:v>-7.2866863267368092E-3</c:v>
                </c:pt>
                <c:pt idx="21">
                  <c:v>-9.7155817336556961E-3</c:v>
                </c:pt>
                <c:pt idx="22">
                  <c:v>-1.2144477110294538E-2</c:v>
                </c:pt>
                <c:pt idx="23">
                  <c:v>-1.4573372449083329E-2</c:v>
                </c:pt>
                <c:pt idx="24">
                  <c:v>-1.7002267742452063E-2</c:v>
                </c:pt>
                <c:pt idx="25">
                  <c:v>-1.9431162982830725E-2</c:v>
                </c:pt>
                <c:pt idx="26">
                  <c:v>-2.1860058162649312E-2</c:v>
                </c:pt>
                <c:pt idx="27">
                  <c:v>-2.4288953274337815E-2</c:v>
                </c:pt>
                <c:pt idx="28">
                  <c:v>-4.8577898978668328E-2</c:v>
                </c:pt>
                <c:pt idx="29">
                  <c:v>-7.286682954299907E-2</c:v>
                </c:pt>
                <c:pt idx="30">
                  <c:v>-9.7155737397367256E-2</c:v>
                </c:pt>
                <c:pt idx="31">
                  <c:v>-0.12144461497185466</c:v>
                </c:pt>
                <c:pt idx="32">
                  <c:v>-0.14573345469660234</c:v>
                </c:pt>
                <c:pt idx="33">
                  <c:v>-0.17002224900182564</c:v>
                </c:pt>
                <c:pt idx="34">
                  <c:v>-0.19431099031782892</c:v>
                </c:pt>
                <c:pt idx="35">
                  <c:v>-0.21859967107502049</c:v>
                </c:pt>
                <c:pt idx="36">
                  <c:v>-0.24288828370392718</c:v>
                </c:pt>
                <c:pt idx="37">
                  <c:v>-0.48576899776786159</c:v>
                </c:pt>
                <c:pt idx="38">
                  <c:v>-0.72863457403573095</c:v>
                </c:pt>
                <c:pt idx="39">
                  <c:v>-0.97147744731857821</c:v>
                </c:pt>
                <c:pt idx="40">
                  <c:v>-1.2142900568763002</c:v>
                </c:pt>
                <c:pt idx="41">
                  <c:v>-1.4570648478972092</c:v>
                </c:pt>
                <c:pt idx="42">
                  <c:v>-1.6997942729746904</c:v>
                </c:pt>
                <c:pt idx="43">
                  <c:v>-1.9424707935802386</c:v>
                </c:pt>
                <c:pt idx="44">
                  <c:v>-2.1850868815321509</c:v>
                </c:pt>
                <c:pt idx="45">
                  <c:v>-2.4276350204591703</c:v>
                </c:pt>
                <c:pt idx="46">
                  <c:v>-4.8477369530338317</c:v>
                </c:pt>
                <c:pt idx="47">
                  <c:v>-7.2529187330007838</c:v>
                </c:pt>
                <c:pt idx="48">
                  <c:v>-9.6360783363884597</c:v>
                </c:pt>
                <c:pt idx="49">
                  <c:v>-11.990524405565539</c:v>
                </c:pt>
                <c:pt idx="50">
                  <c:v>-14.310083248146514</c:v>
                </c:pt>
                <c:pt idx="51">
                  <c:v>-16.589183503233272</c:v>
                </c:pt>
                <c:pt idx="52">
                  <c:v>-18.822916479964046</c:v>
                </c:pt>
                <c:pt idx="53">
                  <c:v>-21.007071867773369</c:v>
                </c:pt>
                <c:pt idx="54">
                  <c:v>-23.138150024403103</c:v>
                </c:pt>
                <c:pt idx="55">
                  <c:v>-41.209401128033235</c:v>
                </c:pt>
                <c:pt idx="56">
                  <c:v>-53.87107300476054</c:v>
                </c:pt>
                <c:pt idx="57">
                  <c:v>-62.767944198083256</c:v>
                </c:pt>
                <c:pt idx="58">
                  <c:v>-69.29738427743743</c:v>
                </c:pt>
                <c:pt idx="59">
                  <c:v>-74.330147515328335</c:v>
                </c:pt>
                <c:pt idx="60">
                  <c:v>-78.382713347260008</c:v>
                </c:pt>
                <c:pt idx="61">
                  <c:v>-81.766911316842922</c:v>
                </c:pt>
                <c:pt idx="62">
                  <c:v>-84.677712812016736</c:v>
                </c:pt>
                <c:pt idx="63">
                  <c:v>-87.241619983754831</c:v>
                </c:pt>
                <c:pt idx="64">
                  <c:v>-104.43760824780203</c:v>
                </c:pt>
                <c:pt idx="65">
                  <c:v>-115.84848143120365</c:v>
                </c:pt>
              </c:numCache>
            </c:numRef>
          </c:yVal>
          <c:smooth val="1"/>
          <c:extLst>
            <c:ext xmlns:c16="http://schemas.microsoft.com/office/drawing/2014/chart" uri="{C3380CC4-5D6E-409C-BE32-E72D297353CC}">
              <c16:uniqueId val="{00000000-CD57-4C4B-AF68-BB0731FB325C}"/>
            </c:ext>
          </c:extLst>
        </c:ser>
        <c:ser>
          <c:idx val="1"/>
          <c:order val="1"/>
          <c:tx>
            <c:v>Third</c:v>
          </c:tx>
          <c:marker>
            <c:symbol val="none"/>
          </c:marker>
          <c:xVal>
            <c:numRef>
              <c:f>EA_para!$A$51:$A$116</c:f>
              <c:numCache>
                <c:formatCode>#,##0.00</c:formatCode>
                <c:ptCount val="66"/>
                <c:pt idx="0">
                  <c:v>0.1</c:v>
                </c:pt>
                <c:pt idx="1">
                  <c:v>0.2</c:v>
                </c:pt>
                <c:pt idx="2">
                  <c:v>0.30000000000000004</c:v>
                </c:pt>
                <c:pt idx="3">
                  <c:v>0.4</c:v>
                </c:pt>
                <c:pt idx="4">
                  <c:v>0.5</c:v>
                </c:pt>
                <c:pt idx="5">
                  <c:v>0.6</c:v>
                </c:pt>
                <c:pt idx="6">
                  <c:v>0.7</c:v>
                </c:pt>
                <c:pt idx="7">
                  <c:v>0.79999999999999993</c:v>
                </c:pt>
                <c:pt idx="8">
                  <c:v>0.89999999999999991</c:v>
                </c:pt>
                <c:pt idx="9">
                  <c:v>0.99999999999999989</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pt idx="37">
                  <c:v>2000</c:v>
                </c:pt>
                <c:pt idx="38">
                  <c:v>3000</c:v>
                </c:pt>
                <c:pt idx="39">
                  <c:v>4000</c:v>
                </c:pt>
                <c:pt idx="40">
                  <c:v>5000</c:v>
                </c:pt>
                <c:pt idx="41">
                  <c:v>6000</c:v>
                </c:pt>
                <c:pt idx="42">
                  <c:v>7000</c:v>
                </c:pt>
                <c:pt idx="43">
                  <c:v>8000</c:v>
                </c:pt>
                <c:pt idx="44">
                  <c:v>9000</c:v>
                </c:pt>
                <c:pt idx="45">
                  <c:v>10000</c:v>
                </c:pt>
                <c:pt idx="46">
                  <c:v>20000</c:v>
                </c:pt>
                <c:pt idx="47">
                  <c:v>30000</c:v>
                </c:pt>
                <c:pt idx="48">
                  <c:v>40000</c:v>
                </c:pt>
                <c:pt idx="49">
                  <c:v>50000</c:v>
                </c:pt>
                <c:pt idx="50">
                  <c:v>60000</c:v>
                </c:pt>
                <c:pt idx="51">
                  <c:v>70000</c:v>
                </c:pt>
                <c:pt idx="52">
                  <c:v>80000</c:v>
                </c:pt>
                <c:pt idx="53">
                  <c:v>90000</c:v>
                </c:pt>
                <c:pt idx="54">
                  <c:v>100000</c:v>
                </c:pt>
                <c:pt idx="55">
                  <c:v>200000</c:v>
                </c:pt>
                <c:pt idx="56">
                  <c:v>300000</c:v>
                </c:pt>
                <c:pt idx="57">
                  <c:v>400000</c:v>
                </c:pt>
                <c:pt idx="58">
                  <c:v>500000</c:v>
                </c:pt>
                <c:pt idx="59">
                  <c:v>600000</c:v>
                </c:pt>
                <c:pt idx="60">
                  <c:v>700000</c:v>
                </c:pt>
                <c:pt idx="61">
                  <c:v>800000</c:v>
                </c:pt>
                <c:pt idx="62">
                  <c:v>900000</c:v>
                </c:pt>
                <c:pt idx="63">
                  <c:v>1000000</c:v>
                </c:pt>
                <c:pt idx="64">
                  <c:v>2000000</c:v>
                </c:pt>
                <c:pt idx="65">
                  <c:v>3000000</c:v>
                </c:pt>
              </c:numCache>
            </c:numRef>
          </c:xVal>
          <c:yVal>
            <c:numRef>
              <c:f>EA_para!$L$51:$L$116</c:f>
              <c:numCache>
                <c:formatCode>General</c:formatCode>
                <c:ptCount val="66"/>
                <c:pt idx="0">
                  <c:v>-2.443232850548975E-5</c:v>
                </c:pt>
                <c:pt idx="1">
                  <c:v>-4.8864657010971932E-5</c:v>
                </c:pt>
                <c:pt idx="2">
                  <c:v>-7.3296985516438961E-5</c:v>
                </c:pt>
                <c:pt idx="3">
                  <c:v>-9.7729314021883311E-5</c:v>
                </c:pt>
                <c:pt idx="4">
                  <c:v>-1.2216164252729734E-4</c:v>
                </c:pt>
                <c:pt idx="5">
                  <c:v>-1.4659397103267352E-4</c:v>
                </c:pt>
                <c:pt idx="6">
                  <c:v>-1.710262995380043E-4</c:v>
                </c:pt>
                <c:pt idx="7">
                  <c:v>-1.9545862804328206E-4</c:v>
                </c:pt>
                <c:pt idx="8">
                  <c:v>-2.198909565484993E-4</c:v>
                </c:pt>
                <c:pt idx="9">
                  <c:v>-2.443232850536484E-4</c:v>
                </c:pt>
                <c:pt idx="10">
                  <c:v>-4.8864657009972678E-4</c:v>
                </c:pt>
                <c:pt idx="11">
                  <c:v>-7.3296985513066526E-4</c:v>
                </c:pt>
                <c:pt idx="12">
                  <c:v>-9.7729314013889372E-4</c:v>
                </c:pt>
                <c:pt idx="13">
                  <c:v>-1.2216164251168424E-3</c:v>
                </c:pt>
                <c:pt idx="14">
                  <c:v>-1.4659397100569411E-3</c:v>
                </c:pt>
                <c:pt idx="15">
                  <c:v>-1.7102629949516195E-3</c:v>
                </c:pt>
                <c:pt idx="16">
                  <c:v>-1.9545862797933082E-3</c:v>
                </c:pt>
                <c:pt idx="17">
                  <c:v>-2.1989095645744369E-3</c:v>
                </c:pt>
                <c:pt idx="18">
                  <c:v>-2.443232849287436E-3</c:v>
                </c:pt>
                <c:pt idx="19">
                  <c:v>-4.8864656910048822E-3</c:v>
                </c:pt>
                <c:pt idx="20">
                  <c:v>-7.3296985175823476E-3</c:v>
                </c:pt>
                <c:pt idx="21">
                  <c:v>-9.7729313214498445E-3</c:v>
                </c:pt>
                <c:pt idx="22">
                  <c:v>-1.2216164095037382E-2</c:v>
                </c:pt>
                <c:pt idx="23">
                  <c:v>-1.4659396830774971E-2</c:v>
                </c:pt>
                <c:pt idx="24">
                  <c:v>-1.7102629521092629E-2</c:v>
                </c:pt>
                <c:pt idx="25">
                  <c:v>-1.9545862158420364E-2</c:v>
                </c:pt>
                <c:pt idx="26">
                  <c:v>-2.1989094735188192E-2</c:v>
                </c:pt>
                <c:pt idx="27">
                  <c:v>-2.4432327243826126E-2</c:v>
                </c:pt>
                <c:pt idx="28">
                  <c:v>-4.886464691766592E-2</c:v>
                </c:pt>
                <c:pt idx="29">
                  <c:v>-7.3296951451547909E-2</c:v>
                </c:pt>
                <c:pt idx="30">
                  <c:v>-9.772923327553025E-2</c:v>
                </c:pt>
                <c:pt idx="31">
                  <c:v>-0.12216148481971567</c:v>
                </c:pt>
                <c:pt idx="32">
                  <c:v>-0.14659369851426629</c:v>
                </c:pt>
                <c:pt idx="33">
                  <c:v>-0.17102586678941839</c:v>
                </c:pt>
                <c:pt idx="34">
                  <c:v>-0.19545798207549725</c:v>
                </c:pt>
                <c:pt idx="35">
                  <c:v>-0.21989003680293215</c:v>
                </c:pt>
                <c:pt idx="36">
                  <c:v>-0.24432202340227113</c:v>
                </c:pt>
                <c:pt idx="37">
                  <c:v>-0.48863647718552361</c:v>
                </c:pt>
                <c:pt idx="38">
                  <c:v>-0.7329357932146604</c:v>
                </c:pt>
                <c:pt idx="39">
                  <c:v>-0.97721240632169959</c:v>
                </c:pt>
                <c:pt idx="40">
                  <c:v>-1.2214587557875149</c:v>
                </c:pt>
                <c:pt idx="41">
                  <c:v>-1.4656672868213958</c:v>
                </c:pt>
                <c:pt idx="42">
                  <c:v>-1.7098304520377088</c:v>
                </c:pt>
                <c:pt idx="43">
                  <c:v>-1.9539407129289292</c:v>
                </c:pt>
                <c:pt idx="44">
                  <c:v>-2.1979905413343399</c:v>
                </c:pt>
                <c:pt idx="45">
                  <c:v>-2.4419724209036695</c:v>
                </c:pt>
                <c:pt idx="46">
                  <c:v>-4.8764117749061446</c:v>
                </c:pt>
                <c:pt idx="47">
                  <c:v>-7.2959310183030448</c:v>
                </c:pt>
                <c:pt idx="48">
                  <c:v>-9.6934281482101134</c:v>
                </c:pt>
                <c:pt idx="49">
                  <c:v>-12.062211828180144</c:v>
                </c:pt>
                <c:pt idx="50">
                  <c:v>-14.396108387130385</c:v>
                </c:pt>
                <c:pt idx="51">
                  <c:v>-16.689546485598566</c:v>
                </c:pt>
                <c:pt idx="52">
                  <c:v>-18.937617454298515</c:v>
                </c:pt>
                <c:pt idx="53">
                  <c:v>-21.136111004379334</c:v>
                </c:pt>
                <c:pt idx="54">
                  <c:v>-23.281527515429158</c:v>
                </c:pt>
                <c:pt idx="55">
                  <c:v>-41.49617759946095</c:v>
                </c:pt>
                <c:pt idx="56">
                  <c:v>-54.301292053820369</c:v>
                </c:pt>
                <c:pt idx="57">
                  <c:v>-63.341671242647571</c:v>
                </c:pt>
                <c:pt idx="58">
                  <c:v>-70.014705847954104</c:v>
                </c:pt>
                <c:pt idx="59">
                  <c:v>-75.191170458679323</c:v>
                </c:pt>
                <c:pt idx="60">
                  <c:v>-79.38756392849659</c:v>
                </c:pt>
                <c:pt idx="61">
                  <c:v>-82.915734196577318</c:v>
                </c:pt>
                <c:pt idx="62">
                  <c:v>-85.970669901126058</c:v>
                </c:pt>
                <c:pt idx="63">
                  <c:v>-88.678889187792478</c:v>
                </c:pt>
                <c:pt idx="64">
                  <c:v>-107.33027132935001</c:v>
                </c:pt>
                <c:pt idx="65">
                  <c:v>-120.22120385297303</c:v>
                </c:pt>
              </c:numCache>
            </c:numRef>
          </c:yVal>
          <c:smooth val="1"/>
          <c:extLst>
            <c:ext xmlns:c16="http://schemas.microsoft.com/office/drawing/2014/chart" uri="{C3380CC4-5D6E-409C-BE32-E72D297353CC}">
              <c16:uniqueId val="{00000001-CD57-4C4B-AF68-BB0731FB325C}"/>
            </c:ext>
          </c:extLst>
        </c:ser>
        <c:ser>
          <c:idx val="2"/>
          <c:order val="2"/>
          <c:tx>
            <c:v>First</c:v>
          </c:tx>
          <c:marker>
            <c:symbol val="none"/>
          </c:marker>
          <c:xVal>
            <c:numRef>
              <c:f>EA_para!$A$51:$A$116</c:f>
              <c:numCache>
                <c:formatCode>#,##0.00</c:formatCode>
                <c:ptCount val="66"/>
                <c:pt idx="0">
                  <c:v>0.1</c:v>
                </c:pt>
                <c:pt idx="1">
                  <c:v>0.2</c:v>
                </c:pt>
                <c:pt idx="2">
                  <c:v>0.30000000000000004</c:v>
                </c:pt>
                <c:pt idx="3">
                  <c:v>0.4</c:v>
                </c:pt>
                <c:pt idx="4">
                  <c:v>0.5</c:v>
                </c:pt>
                <c:pt idx="5">
                  <c:v>0.6</c:v>
                </c:pt>
                <c:pt idx="6">
                  <c:v>0.7</c:v>
                </c:pt>
                <c:pt idx="7">
                  <c:v>0.79999999999999993</c:v>
                </c:pt>
                <c:pt idx="8">
                  <c:v>0.89999999999999991</c:v>
                </c:pt>
                <c:pt idx="9">
                  <c:v>0.99999999999999989</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pt idx="37">
                  <c:v>2000</c:v>
                </c:pt>
                <c:pt idx="38">
                  <c:v>3000</c:v>
                </c:pt>
                <c:pt idx="39">
                  <c:v>4000</c:v>
                </c:pt>
                <c:pt idx="40">
                  <c:v>5000</c:v>
                </c:pt>
                <c:pt idx="41">
                  <c:v>6000</c:v>
                </c:pt>
                <c:pt idx="42">
                  <c:v>7000</c:v>
                </c:pt>
                <c:pt idx="43">
                  <c:v>8000</c:v>
                </c:pt>
                <c:pt idx="44">
                  <c:v>9000</c:v>
                </c:pt>
                <c:pt idx="45">
                  <c:v>10000</c:v>
                </c:pt>
                <c:pt idx="46">
                  <c:v>20000</c:v>
                </c:pt>
                <c:pt idx="47">
                  <c:v>30000</c:v>
                </c:pt>
                <c:pt idx="48">
                  <c:v>40000</c:v>
                </c:pt>
                <c:pt idx="49">
                  <c:v>50000</c:v>
                </c:pt>
                <c:pt idx="50">
                  <c:v>60000</c:v>
                </c:pt>
                <c:pt idx="51">
                  <c:v>70000</c:v>
                </c:pt>
                <c:pt idx="52">
                  <c:v>80000</c:v>
                </c:pt>
                <c:pt idx="53">
                  <c:v>90000</c:v>
                </c:pt>
                <c:pt idx="54">
                  <c:v>100000</c:v>
                </c:pt>
                <c:pt idx="55">
                  <c:v>200000</c:v>
                </c:pt>
                <c:pt idx="56">
                  <c:v>300000</c:v>
                </c:pt>
                <c:pt idx="57">
                  <c:v>400000</c:v>
                </c:pt>
                <c:pt idx="58">
                  <c:v>500000</c:v>
                </c:pt>
                <c:pt idx="59">
                  <c:v>600000</c:v>
                </c:pt>
                <c:pt idx="60">
                  <c:v>700000</c:v>
                </c:pt>
                <c:pt idx="61">
                  <c:v>800000</c:v>
                </c:pt>
                <c:pt idx="62">
                  <c:v>900000</c:v>
                </c:pt>
                <c:pt idx="63">
                  <c:v>1000000</c:v>
                </c:pt>
                <c:pt idx="64">
                  <c:v>2000000</c:v>
                </c:pt>
                <c:pt idx="65">
                  <c:v>3000000</c:v>
                </c:pt>
              </c:numCache>
            </c:numRef>
          </c:xVal>
          <c:yVal>
            <c:numRef>
              <c:f>EA_para!$Q$51:$Q$116</c:f>
              <c:numCache>
                <c:formatCode>0.00E+00</c:formatCode>
                <c:ptCount val="66"/>
                <c:pt idx="0">
                  <c:v>-2.4288954536004741E-5</c:v>
                </c:pt>
                <c:pt idx="1">
                  <c:v>-4.8577909072000754E-5</c:v>
                </c:pt>
                <c:pt idx="2">
                  <c:v>-7.2866863607979308E-5</c:v>
                </c:pt>
                <c:pt idx="3">
                  <c:v>-9.7155818143931686E-5</c:v>
                </c:pt>
                <c:pt idx="4">
                  <c:v>-1.2144477267984914E-4</c:v>
                </c:pt>
                <c:pt idx="5">
                  <c:v>-1.4573372721572291E-4</c:v>
                </c:pt>
                <c:pt idx="6">
                  <c:v>-1.700226817515443E-4</c:v>
                </c:pt>
                <c:pt idx="7">
                  <c:v>-1.9431163628730465E-4</c:v>
                </c:pt>
                <c:pt idx="8">
                  <c:v>-2.186005908229951E-4</c:v>
                </c:pt>
                <c:pt idx="9">
                  <c:v>-2.42889545358607E-4</c:v>
                </c:pt>
                <c:pt idx="10">
                  <c:v>-4.8577909070848471E-4</c:v>
                </c:pt>
                <c:pt idx="11">
                  <c:v>-7.2866863604090335E-4</c:v>
                </c:pt>
                <c:pt idx="12">
                  <c:v>-9.7155818134713389E-4</c:v>
                </c:pt>
                <c:pt idx="13">
                  <c:v>-1.2144477266184468E-3</c:v>
                </c:pt>
                <c:pt idx="14">
                  <c:v>-1.4573372718461122E-3</c:v>
                </c:pt>
                <c:pt idx="15">
                  <c:v>-1.7002268170214017E-3</c:v>
                </c:pt>
                <c:pt idx="16">
                  <c:v>-1.9431163621355849E-3</c:v>
                </c:pt>
                <c:pt idx="17">
                  <c:v>-2.1860059071799327E-3</c:v>
                </c:pt>
                <c:pt idx="18">
                  <c:v>-2.4288954521457158E-3</c:v>
                </c:pt>
                <c:pt idx="19">
                  <c:v>-4.8577908955620081E-3</c:v>
                </c:pt>
                <c:pt idx="20">
                  <c:v>-7.2866863215194522E-3</c:v>
                </c:pt>
                <c:pt idx="21">
                  <c:v>-9.7155817212886252E-3</c:v>
                </c:pt>
                <c:pt idx="22">
                  <c:v>-1.2144477086140104E-2</c:v>
                </c:pt>
                <c:pt idx="23">
                  <c:v>-1.457337240734447E-2</c:v>
                </c:pt>
                <c:pt idx="24">
                  <c:v>-1.7002267676172304E-2</c:v>
                </c:pt>
                <c:pt idx="25">
                  <c:v>-1.9431162883894175E-2</c:v>
                </c:pt>
                <c:pt idx="26">
                  <c:v>-2.1860058021780673E-2</c:v>
                </c:pt>
                <c:pt idx="27">
                  <c:v>-2.428895308110238E-2</c:v>
                </c:pt>
                <c:pt idx="28">
                  <c:v>-4.8577897432785642E-2</c:v>
                </c:pt>
                <c:pt idx="29">
                  <c:v>-7.2866824325649504E-2</c:v>
                </c:pt>
                <c:pt idx="30">
                  <c:v>-9.7155725030331291E-2</c:v>
                </c:pt>
                <c:pt idx="31">
                  <c:v>-0.12144459081752487</c:v>
                </c:pt>
                <c:pt idx="32">
                  <c:v>-0.14573341295799933</c:v>
                </c:pt>
                <c:pt idx="33">
                  <c:v>-0.17002218272261796</c:v>
                </c:pt>
                <c:pt idx="34">
                  <c:v>-0.19431089138235685</c:v>
                </c:pt>
                <c:pt idx="35">
                  <c:v>-0.21859953020832401</c:v>
                </c:pt>
                <c:pt idx="36">
                  <c:v>-0.24288809047177798</c:v>
                </c:pt>
                <c:pt idx="37">
                  <c:v>-0.48576745199030957</c:v>
                </c:pt>
                <c:pt idx="38">
                  <c:v>-0.72862935748441737</c:v>
                </c:pt>
                <c:pt idx="39">
                  <c:v>-0.97146508364604767</c:v>
                </c:pt>
                <c:pt idx="40">
                  <c:v>-1.2142659128092979</c:v>
                </c:pt>
                <c:pt idx="41">
                  <c:v>-1.4570231348264027</c:v>
                </c:pt>
                <c:pt idx="42">
                  <c:v>-1.6997280489396769</c:v>
                </c:pt>
                <c:pt idx="43">
                  <c:v>-1.9423719656484033</c:v>
                </c:pt>
                <c:pt idx="44">
                  <c:v>-2.1849462085696705</c:v>
                </c:pt>
                <c:pt idx="45">
                  <c:v>-2.4274421162921689</c:v>
                </c:pt>
                <c:pt idx="46">
                  <c:v>-4.8462016166689557</c:v>
                </c:pt>
                <c:pt idx="47">
                  <c:v>-7.2477807922175135</c:v>
                </c:pt>
                <c:pt idx="48">
                  <c:v>-9.6240420127868962</c:v>
                </c:pt>
                <c:pt idx="49">
                  <c:v>-11.967364371255416</c:v>
                </c:pt>
                <c:pt idx="50">
                  <c:v>-14.270774749820056</c:v>
                </c:pt>
                <c:pt idx="51">
                  <c:v>-16.528048541591495</c:v>
                </c:pt>
                <c:pt idx="52">
                  <c:v>-18.73377777125776</c:v>
                </c:pt>
                <c:pt idx="53">
                  <c:v>-20.883406783062778</c:v>
                </c:pt>
                <c:pt idx="54">
                  <c:v>-22.973237745413257</c:v>
                </c:pt>
                <c:pt idx="55">
                  <c:v>-40.293114926361362</c:v>
                </c:pt>
                <c:pt idx="56">
                  <c:v>-51.822462869802308</c:v>
                </c:pt>
                <c:pt idx="57">
                  <c:v>-59.471851876948101</c:v>
                </c:pt>
                <c:pt idx="58">
                  <c:v>-64.744038350230355</c:v>
                </c:pt>
                <c:pt idx="59">
                  <c:v>-68.538982775180514</c:v>
                </c:pt>
                <c:pt idx="60">
                  <c:v>-71.378341447116227</c:v>
                </c:pt>
                <c:pt idx="61">
                  <c:v>-73.572746754319056</c:v>
                </c:pt>
                <c:pt idx="62">
                  <c:v>-75.314807404996358</c:v>
                </c:pt>
                <c:pt idx="63">
                  <c:v>-76.728893017442061</c:v>
                </c:pt>
                <c:pt idx="64">
                  <c:v>-83.275519796756171</c:v>
                </c:pt>
                <c:pt idx="65">
                  <c:v>-85.506428848746708</c:v>
                </c:pt>
              </c:numCache>
            </c:numRef>
          </c:yVal>
          <c:smooth val="1"/>
          <c:extLst>
            <c:ext xmlns:c16="http://schemas.microsoft.com/office/drawing/2014/chart" uri="{C3380CC4-5D6E-409C-BE32-E72D297353CC}">
              <c16:uniqueId val="{00000002-CD57-4C4B-AF68-BB0731FB325C}"/>
            </c:ext>
          </c:extLst>
        </c:ser>
        <c:dLbls>
          <c:showLegendKey val="0"/>
          <c:showVal val="0"/>
          <c:showCatName val="0"/>
          <c:showSerName val="0"/>
          <c:showPercent val="0"/>
          <c:showBubbleSize val="0"/>
        </c:dLbls>
        <c:axId val="161999872"/>
        <c:axId val="163984512"/>
      </c:scatterChart>
      <c:valAx>
        <c:axId val="161999872"/>
        <c:scaling>
          <c:logBase val="10"/>
          <c:orientation val="minMax"/>
        </c:scaling>
        <c:delete val="0"/>
        <c:axPos val="b"/>
        <c:majorGridlines/>
        <c:minorGridlines/>
        <c:title>
          <c:tx>
            <c:rich>
              <a:bodyPr/>
              <a:lstStyle/>
              <a:p>
                <a:pPr>
                  <a:defRPr/>
                </a:pPr>
                <a:r>
                  <a:rPr lang="en-US"/>
                  <a:t>Frequency (Hz)</a:t>
                </a:r>
              </a:p>
            </c:rich>
          </c:tx>
          <c:overlay val="0"/>
        </c:title>
        <c:numFmt formatCode="#,##0.00" sourceLinked="1"/>
        <c:majorTickMark val="out"/>
        <c:minorTickMark val="none"/>
        <c:tickLblPos val="nextTo"/>
        <c:crossAx val="163984512"/>
        <c:crossesAt val="-150"/>
        <c:crossBetween val="midCat"/>
      </c:valAx>
      <c:valAx>
        <c:axId val="163984512"/>
        <c:scaling>
          <c:orientation val="minMax"/>
        </c:scaling>
        <c:delete val="0"/>
        <c:axPos val="l"/>
        <c:majorGridlines/>
        <c:title>
          <c:tx>
            <c:rich>
              <a:bodyPr rot="-5400000" vert="horz"/>
              <a:lstStyle/>
              <a:p>
                <a:pPr>
                  <a:defRPr/>
                </a:pPr>
                <a:r>
                  <a:rPr lang="en-US"/>
                  <a:t>Phase (°)</a:t>
                </a:r>
              </a:p>
            </c:rich>
          </c:tx>
          <c:overlay val="0"/>
        </c:title>
        <c:numFmt formatCode="#,##0.00" sourceLinked="0"/>
        <c:majorTickMark val="out"/>
        <c:minorTickMark val="none"/>
        <c:tickLblPos val="nextTo"/>
        <c:crossAx val="161999872"/>
        <c:crossesAt val="0.1"/>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Switching Frequency vs. Ouput Current</a:t>
            </a:r>
          </a:p>
        </c:rich>
      </c:tx>
      <c:overlay val="0"/>
    </c:title>
    <c:autoTitleDeleted val="0"/>
    <c:plotArea>
      <c:layout/>
      <c:scatterChart>
        <c:scatterStyle val="lineMarker"/>
        <c:varyColors val="0"/>
        <c:ser>
          <c:idx val="0"/>
          <c:order val="0"/>
          <c:spPr>
            <a:ln>
              <a:solidFill>
                <a:schemeClr val="tx1"/>
              </a:solidFill>
            </a:ln>
          </c:spPr>
          <c:marker>
            <c:symbol val="none"/>
          </c:marker>
          <c:xVal>
            <c:numRef>
              <c:f>PFM_auto!$A$108:$A$146</c:f>
              <c:numCache>
                <c:formatCode>0.00</c:formatCode>
                <c:ptCount val="39"/>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9.0000000000000018</c:v>
                </c:pt>
                <c:pt idx="18">
                  <c:v>10.000000000000002</c:v>
                </c:pt>
                <c:pt idx="19">
                  <c:v>20.000000000000004</c:v>
                </c:pt>
                <c:pt idx="20">
                  <c:v>30.000000000000007</c:v>
                </c:pt>
                <c:pt idx="21">
                  <c:v>40.000000000000007</c:v>
                </c:pt>
                <c:pt idx="22">
                  <c:v>50.000000000000007</c:v>
                </c:pt>
                <c:pt idx="23">
                  <c:v>60.000000000000014</c:v>
                </c:pt>
                <c:pt idx="24">
                  <c:v>70</c:v>
                </c:pt>
                <c:pt idx="25">
                  <c:v>80</c:v>
                </c:pt>
                <c:pt idx="26">
                  <c:v>90</c:v>
                </c:pt>
                <c:pt idx="27">
                  <c:v>99.999999999999986</c:v>
                </c:pt>
                <c:pt idx="28">
                  <c:v>200</c:v>
                </c:pt>
                <c:pt idx="29">
                  <c:v>300.00000000000006</c:v>
                </c:pt>
                <c:pt idx="30">
                  <c:v>400</c:v>
                </c:pt>
                <c:pt idx="31">
                  <c:v>500</c:v>
                </c:pt>
                <c:pt idx="32">
                  <c:v>600</c:v>
                </c:pt>
                <c:pt idx="33">
                  <c:v>700</c:v>
                </c:pt>
                <c:pt idx="34">
                  <c:v>799.99999999999989</c:v>
                </c:pt>
                <c:pt idx="35">
                  <c:v>899.99999999999989</c:v>
                </c:pt>
                <c:pt idx="36">
                  <c:v>999.99999999999989</c:v>
                </c:pt>
                <c:pt idx="37">
                  <c:v>2000</c:v>
                </c:pt>
                <c:pt idx="38">
                  <c:v>3000</c:v>
                </c:pt>
              </c:numCache>
            </c:numRef>
          </c:xVal>
          <c:yVal>
            <c:numRef>
              <c:f>PFM_auto!$B$108:$B$146</c:f>
              <c:numCache>
                <c:formatCode>#,##0.0</c:formatCode>
                <c:ptCount val="39"/>
                <c:pt idx="0">
                  <c:v>218.2316997131812</c:v>
                </c:pt>
                <c:pt idx="1">
                  <c:v>436.4633994263624</c:v>
                </c:pt>
                <c:pt idx="2">
                  <c:v>654.69509913954357</c:v>
                </c:pt>
                <c:pt idx="3">
                  <c:v>872.9267988527248</c:v>
                </c:pt>
                <c:pt idx="4">
                  <c:v>1091.158498565906</c:v>
                </c:pt>
                <c:pt idx="5">
                  <c:v>1309.3901982790871</c:v>
                </c:pt>
                <c:pt idx="6">
                  <c:v>1527.6218979922683</c:v>
                </c:pt>
                <c:pt idx="7">
                  <c:v>1745.8535977054496</c:v>
                </c:pt>
                <c:pt idx="8">
                  <c:v>1964.0852974186307</c:v>
                </c:pt>
                <c:pt idx="9">
                  <c:v>2182.3169971318121</c:v>
                </c:pt>
                <c:pt idx="10">
                  <c:v>4364.6339942636241</c:v>
                </c:pt>
                <c:pt idx="11">
                  <c:v>6546.9509913954362</c:v>
                </c:pt>
                <c:pt idx="12">
                  <c:v>8729.2679885272482</c:v>
                </c:pt>
                <c:pt idx="13">
                  <c:v>10911.584985659059</c:v>
                </c:pt>
                <c:pt idx="14">
                  <c:v>13093.901982790872</c:v>
                </c:pt>
                <c:pt idx="15">
                  <c:v>15276.218979922684</c:v>
                </c:pt>
                <c:pt idx="16">
                  <c:v>17458.535977054496</c:v>
                </c:pt>
                <c:pt idx="17">
                  <c:v>19640.852974186309</c:v>
                </c:pt>
                <c:pt idx="18">
                  <c:v>21823.169971318122</c:v>
                </c:pt>
                <c:pt idx="19">
                  <c:v>43646.339942636245</c:v>
                </c:pt>
                <c:pt idx="20">
                  <c:v>65469.509913954367</c:v>
                </c:pt>
                <c:pt idx="21">
                  <c:v>87292.67988527249</c:v>
                </c:pt>
                <c:pt idx="22">
                  <c:v>109115.84985659062</c:v>
                </c:pt>
                <c:pt idx="23">
                  <c:v>130939.01982790873</c:v>
                </c:pt>
                <c:pt idx="24">
                  <c:v>152762.18979922685</c:v>
                </c:pt>
                <c:pt idx="25">
                  <c:v>174585.35977054495</c:v>
                </c:pt>
                <c:pt idx="26">
                  <c:v>196408.52974186308</c:v>
                </c:pt>
                <c:pt idx="27">
                  <c:v>218231.69971318118</c:v>
                </c:pt>
                <c:pt idx="28">
                  <c:v>436463.39942636242</c:v>
                </c:pt>
                <c:pt idx="29">
                  <c:v>654695.09913954372</c:v>
                </c:pt>
                <c:pt idx="30">
                  <c:v>872926.79885272484</c:v>
                </c:pt>
                <c:pt idx="31">
                  <c:v>1022700.4653756239</c:v>
                </c:pt>
                <c:pt idx="32">
                  <c:v>1115027.5907220345</c:v>
                </c:pt>
                <c:pt idx="33">
                  <c:v>1225679.1836944502</c:v>
                </c:pt>
                <c:pt idx="34">
                  <c:v>1360711.636135364</c:v>
                </c:pt>
                <c:pt idx="35">
                  <c:v>1529180.6958473613</c:v>
                </c:pt>
                <c:pt idx="36">
                  <c:v>1745260.5767823143</c:v>
                </c:pt>
                <c:pt idx="37">
                  <c:v>2100000</c:v>
                </c:pt>
                <c:pt idx="38">
                  <c:v>2100000</c:v>
                </c:pt>
              </c:numCache>
            </c:numRef>
          </c:yVal>
          <c:smooth val="0"/>
          <c:extLst>
            <c:ext xmlns:c16="http://schemas.microsoft.com/office/drawing/2014/chart" uri="{C3380CC4-5D6E-409C-BE32-E72D297353CC}">
              <c16:uniqueId val="{00000000-0A86-4BD2-995F-F1F34F37A680}"/>
            </c:ext>
          </c:extLst>
        </c:ser>
        <c:dLbls>
          <c:showLegendKey val="0"/>
          <c:showVal val="0"/>
          <c:showCatName val="0"/>
          <c:showSerName val="0"/>
          <c:showPercent val="0"/>
          <c:showBubbleSize val="0"/>
        </c:dLbls>
        <c:axId val="163761152"/>
        <c:axId val="164770944"/>
      </c:scatterChart>
      <c:valAx>
        <c:axId val="163761152"/>
        <c:scaling>
          <c:logBase val="10"/>
          <c:orientation val="minMax"/>
        </c:scaling>
        <c:delete val="0"/>
        <c:axPos val="b"/>
        <c:majorGridlines/>
        <c:minorGridlines/>
        <c:title>
          <c:tx>
            <c:rich>
              <a:bodyPr/>
              <a:lstStyle/>
              <a:p>
                <a:pPr>
                  <a:defRPr/>
                </a:pPr>
                <a:r>
                  <a:rPr lang="en-US"/>
                  <a:t>Output Current (mA)</a:t>
                </a:r>
              </a:p>
            </c:rich>
          </c:tx>
          <c:overlay val="0"/>
        </c:title>
        <c:numFmt formatCode="0.00" sourceLinked="1"/>
        <c:majorTickMark val="out"/>
        <c:minorTickMark val="none"/>
        <c:tickLblPos val="nextTo"/>
        <c:crossAx val="164770944"/>
        <c:crosses val="autoZero"/>
        <c:crossBetween val="midCat"/>
      </c:valAx>
      <c:valAx>
        <c:axId val="164770944"/>
        <c:scaling>
          <c:logBase val="10"/>
          <c:orientation val="minMax"/>
          <c:min val="10"/>
        </c:scaling>
        <c:delete val="0"/>
        <c:axPos val="l"/>
        <c:majorGridlines/>
        <c:minorGridlines/>
        <c:title>
          <c:tx>
            <c:rich>
              <a:bodyPr rot="-5400000" vert="horz"/>
              <a:lstStyle/>
              <a:p>
                <a:pPr>
                  <a:defRPr/>
                </a:pPr>
                <a:r>
                  <a:rPr lang="en-US"/>
                  <a:t>Switching Frequency (Hz)</a:t>
                </a:r>
              </a:p>
            </c:rich>
          </c:tx>
          <c:overlay val="0"/>
        </c:title>
        <c:numFmt formatCode="#,##0.0" sourceLinked="1"/>
        <c:majorTickMark val="out"/>
        <c:minorTickMark val="none"/>
        <c:tickLblPos val="nextTo"/>
        <c:crossAx val="163761152"/>
        <c:crossesAt val="0.1"/>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Switching Frequency vs. Input Voltage</a:t>
            </a:r>
          </a:p>
        </c:rich>
      </c:tx>
      <c:overlay val="0"/>
    </c:title>
    <c:autoTitleDeleted val="0"/>
    <c:plotArea>
      <c:layout/>
      <c:scatterChart>
        <c:scatterStyle val="lineMarker"/>
        <c:varyColors val="0"/>
        <c:ser>
          <c:idx val="0"/>
          <c:order val="0"/>
          <c:spPr>
            <a:ln>
              <a:solidFill>
                <a:schemeClr val="tx1"/>
              </a:solidFill>
            </a:ln>
          </c:spPr>
          <c:marker>
            <c:symbol val="none"/>
          </c:marker>
          <c:xVal>
            <c:numRef>
              <c:f>Freq_fold!$A$20:$A$99</c:f>
              <c:numCache>
                <c:formatCode>General</c:formatCode>
                <c:ptCount val="80"/>
                <c:pt idx="0">
                  <c:v>3.5</c:v>
                </c:pt>
                <c:pt idx="1">
                  <c:v>3.6</c:v>
                </c:pt>
                <c:pt idx="2">
                  <c:v>3.7</c:v>
                </c:pt>
                <c:pt idx="3">
                  <c:v>3.8000000000000003</c:v>
                </c:pt>
                <c:pt idx="4">
                  <c:v>3.9000000000000004</c:v>
                </c:pt>
                <c:pt idx="5">
                  <c:v>4</c:v>
                </c:pt>
                <c:pt idx="6">
                  <c:v>4.0999999999999996</c:v>
                </c:pt>
                <c:pt idx="7">
                  <c:v>4.1999999999999993</c:v>
                </c:pt>
                <c:pt idx="8">
                  <c:v>4.2999999999999989</c:v>
                </c:pt>
                <c:pt idx="9">
                  <c:v>4.3999999999999986</c:v>
                </c:pt>
                <c:pt idx="10">
                  <c:v>4.4999999999999982</c:v>
                </c:pt>
                <c:pt idx="11">
                  <c:v>4.5999999999999979</c:v>
                </c:pt>
                <c:pt idx="12">
                  <c:v>4.6999999999999975</c:v>
                </c:pt>
                <c:pt idx="13">
                  <c:v>4.7999999999999972</c:v>
                </c:pt>
                <c:pt idx="14">
                  <c:v>4.8999999999999968</c:v>
                </c:pt>
                <c:pt idx="15">
                  <c:v>4.9999999999999964</c:v>
                </c:pt>
                <c:pt idx="16">
                  <c:v>5.0999999999999961</c:v>
                </c:pt>
                <c:pt idx="17">
                  <c:v>5.1999999999999957</c:v>
                </c:pt>
                <c:pt idx="18">
                  <c:v>5.2999999999999954</c:v>
                </c:pt>
                <c:pt idx="19">
                  <c:v>5.399999999999995</c:v>
                </c:pt>
                <c:pt idx="20">
                  <c:v>5.4999999999999947</c:v>
                </c:pt>
                <c:pt idx="21">
                  <c:v>5.5999999999999943</c:v>
                </c:pt>
                <c:pt idx="22">
                  <c:v>5.699999999999994</c:v>
                </c:pt>
                <c:pt idx="23">
                  <c:v>5.7999999999999936</c:v>
                </c:pt>
                <c:pt idx="24">
                  <c:v>5.8999999999999932</c:v>
                </c:pt>
                <c:pt idx="25">
                  <c:v>5.9999999999999929</c:v>
                </c:pt>
                <c:pt idx="26">
                  <c:v>6.1999999999999931</c:v>
                </c:pt>
                <c:pt idx="27">
                  <c:v>6.3999999999999932</c:v>
                </c:pt>
                <c:pt idx="28">
                  <c:v>6.5999999999999934</c:v>
                </c:pt>
                <c:pt idx="29">
                  <c:v>6.7999999999999936</c:v>
                </c:pt>
                <c:pt idx="30">
                  <c:v>6.9999999999999938</c:v>
                </c:pt>
                <c:pt idx="31">
                  <c:v>7.199999999999994</c:v>
                </c:pt>
                <c:pt idx="32">
                  <c:v>7.3999999999999941</c:v>
                </c:pt>
                <c:pt idx="33">
                  <c:v>7.5999999999999943</c:v>
                </c:pt>
                <c:pt idx="34">
                  <c:v>7.7999999999999945</c:v>
                </c:pt>
                <c:pt idx="35">
                  <c:v>7.9999999999999947</c:v>
                </c:pt>
                <c:pt idx="36">
                  <c:v>8.199999999999994</c:v>
                </c:pt>
                <c:pt idx="37">
                  <c:v>8.3999999999999932</c:v>
                </c:pt>
                <c:pt idx="38">
                  <c:v>8.5999999999999925</c:v>
                </c:pt>
                <c:pt idx="39">
                  <c:v>8.7999999999999918</c:v>
                </c:pt>
                <c:pt idx="40">
                  <c:v>8.9999999999999911</c:v>
                </c:pt>
                <c:pt idx="41">
                  <c:v>9.1999999999999904</c:v>
                </c:pt>
                <c:pt idx="42">
                  <c:v>9.3999999999999897</c:v>
                </c:pt>
                <c:pt idx="43">
                  <c:v>9.599999999999989</c:v>
                </c:pt>
                <c:pt idx="44">
                  <c:v>9.7999999999999883</c:v>
                </c:pt>
                <c:pt idx="45">
                  <c:v>9.9999999999999876</c:v>
                </c:pt>
                <c:pt idx="46">
                  <c:v>10.199999999999987</c:v>
                </c:pt>
                <c:pt idx="47">
                  <c:v>10.399999999999986</c:v>
                </c:pt>
                <c:pt idx="48">
                  <c:v>10.599999999999985</c:v>
                </c:pt>
                <c:pt idx="49">
                  <c:v>10.799999999999985</c:v>
                </c:pt>
                <c:pt idx="50">
                  <c:v>10.999999999999984</c:v>
                </c:pt>
                <c:pt idx="51">
                  <c:v>11.199999999999983</c:v>
                </c:pt>
                <c:pt idx="52">
                  <c:v>11.399999999999983</c:v>
                </c:pt>
                <c:pt idx="53">
                  <c:v>11.599999999999982</c:v>
                </c:pt>
                <c:pt idx="54">
                  <c:v>11.799999999999981</c:v>
                </c:pt>
                <c:pt idx="55">
                  <c:v>11.99999999999998</c:v>
                </c:pt>
                <c:pt idx="56">
                  <c:v>12.99999999999998</c:v>
                </c:pt>
                <c:pt idx="57">
                  <c:v>13.99999999999998</c:v>
                </c:pt>
                <c:pt idx="58">
                  <c:v>14.99999999999998</c:v>
                </c:pt>
                <c:pt idx="59">
                  <c:v>15.99999999999998</c:v>
                </c:pt>
                <c:pt idx="60">
                  <c:v>16.999999999999979</c:v>
                </c:pt>
                <c:pt idx="61">
                  <c:v>17.999999999999979</c:v>
                </c:pt>
                <c:pt idx="62">
                  <c:v>18.999999999999979</c:v>
                </c:pt>
                <c:pt idx="63">
                  <c:v>19.999999999999979</c:v>
                </c:pt>
                <c:pt idx="64">
                  <c:v>20.999999999999979</c:v>
                </c:pt>
                <c:pt idx="65">
                  <c:v>21.999999999999979</c:v>
                </c:pt>
                <c:pt idx="66">
                  <c:v>22.999999999999979</c:v>
                </c:pt>
                <c:pt idx="67">
                  <c:v>23.999999999999979</c:v>
                </c:pt>
                <c:pt idx="68">
                  <c:v>24.999999999999979</c:v>
                </c:pt>
                <c:pt idx="69">
                  <c:v>25.999999999999979</c:v>
                </c:pt>
                <c:pt idx="70">
                  <c:v>26.999999999999979</c:v>
                </c:pt>
                <c:pt idx="71">
                  <c:v>27.999999999999979</c:v>
                </c:pt>
                <c:pt idx="72">
                  <c:v>28.999999999999979</c:v>
                </c:pt>
                <c:pt idx="73">
                  <c:v>29.999999999999979</c:v>
                </c:pt>
                <c:pt idx="74">
                  <c:v>30.999999999999979</c:v>
                </c:pt>
                <c:pt idx="75">
                  <c:v>31.999999999999979</c:v>
                </c:pt>
                <c:pt idx="76">
                  <c:v>32.999999999999979</c:v>
                </c:pt>
                <c:pt idx="77">
                  <c:v>33.999999999999979</c:v>
                </c:pt>
                <c:pt idx="78">
                  <c:v>34.999999999999979</c:v>
                </c:pt>
                <c:pt idx="79">
                  <c:v>35.999999999999979</c:v>
                </c:pt>
              </c:numCache>
            </c:numRef>
          </c:xVal>
          <c:yVal>
            <c:numRef>
              <c:f>Freq_fold!$D$20:$D$99</c:f>
              <c:numCache>
                <c:formatCode>#,##0.0</c:formatCode>
                <c:ptCount val="80"/>
                <c:pt idx="0">
                  <c:v>140.8450704225352</c:v>
                </c:pt>
                <c:pt idx="1">
                  <c:v>140.8450704225352</c:v>
                </c:pt>
                <c:pt idx="2">
                  <c:v>140.8450704225352</c:v>
                </c:pt>
                <c:pt idx="3">
                  <c:v>140.8450704225352</c:v>
                </c:pt>
                <c:pt idx="4">
                  <c:v>140.8450704225352</c:v>
                </c:pt>
                <c:pt idx="5">
                  <c:v>140.8450704225352</c:v>
                </c:pt>
                <c:pt idx="6">
                  <c:v>140.8450704225352</c:v>
                </c:pt>
                <c:pt idx="7">
                  <c:v>140.8450704225352</c:v>
                </c:pt>
                <c:pt idx="8">
                  <c:v>140.8450704225352</c:v>
                </c:pt>
                <c:pt idx="9">
                  <c:v>140.8450704225352</c:v>
                </c:pt>
                <c:pt idx="10">
                  <c:v>140.8450704225352</c:v>
                </c:pt>
                <c:pt idx="11">
                  <c:v>140.8450704225352</c:v>
                </c:pt>
                <c:pt idx="12">
                  <c:v>140.8450704225352</c:v>
                </c:pt>
                <c:pt idx="13">
                  <c:v>140.8450704225352</c:v>
                </c:pt>
                <c:pt idx="14">
                  <c:v>140.8450704225352</c:v>
                </c:pt>
                <c:pt idx="15">
                  <c:v>140.8450704225352</c:v>
                </c:pt>
                <c:pt idx="16">
                  <c:v>140.8450704225352</c:v>
                </c:pt>
                <c:pt idx="17">
                  <c:v>140.8450704225352</c:v>
                </c:pt>
                <c:pt idx="18">
                  <c:v>140.8450704225352</c:v>
                </c:pt>
                <c:pt idx="19">
                  <c:v>140.8450704225352</c:v>
                </c:pt>
                <c:pt idx="20">
                  <c:v>309.04059040589351</c:v>
                </c:pt>
                <c:pt idx="21">
                  <c:v>484.6014492753514</c:v>
                </c:pt>
                <c:pt idx="22">
                  <c:v>653.91459074731983</c:v>
                </c:pt>
                <c:pt idx="23">
                  <c:v>817.30769230768169</c:v>
                </c:pt>
                <c:pt idx="24">
                  <c:v>975.08591065290977</c:v>
                </c:pt>
                <c:pt idx="25">
                  <c:v>1127.5337837837731</c:v>
                </c:pt>
                <c:pt idx="26">
                  <c:v>1417.4836601307086</c:v>
                </c:pt>
                <c:pt idx="27">
                  <c:v>1689.0822784810034</c:v>
                </c:pt>
                <c:pt idx="28">
                  <c:v>1944.0184049079667</c:v>
                </c:pt>
                <c:pt idx="29">
                  <c:v>2100</c:v>
                </c:pt>
                <c:pt idx="30">
                  <c:v>2100</c:v>
                </c:pt>
                <c:pt idx="31">
                  <c:v>2100</c:v>
                </c:pt>
                <c:pt idx="32">
                  <c:v>2100</c:v>
                </c:pt>
                <c:pt idx="33">
                  <c:v>2100</c:v>
                </c:pt>
                <c:pt idx="34">
                  <c:v>2100</c:v>
                </c:pt>
                <c:pt idx="35">
                  <c:v>2100</c:v>
                </c:pt>
                <c:pt idx="36">
                  <c:v>2100</c:v>
                </c:pt>
                <c:pt idx="37">
                  <c:v>2100</c:v>
                </c:pt>
                <c:pt idx="38">
                  <c:v>2100</c:v>
                </c:pt>
                <c:pt idx="39">
                  <c:v>2100</c:v>
                </c:pt>
                <c:pt idx="40">
                  <c:v>2100</c:v>
                </c:pt>
                <c:pt idx="41">
                  <c:v>2100</c:v>
                </c:pt>
                <c:pt idx="42">
                  <c:v>2100</c:v>
                </c:pt>
                <c:pt idx="43">
                  <c:v>2100</c:v>
                </c:pt>
                <c:pt idx="44">
                  <c:v>2100</c:v>
                </c:pt>
                <c:pt idx="45">
                  <c:v>2100</c:v>
                </c:pt>
                <c:pt idx="46">
                  <c:v>2100</c:v>
                </c:pt>
                <c:pt idx="47">
                  <c:v>2100</c:v>
                </c:pt>
                <c:pt idx="48">
                  <c:v>2100</c:v>
                </c:pt>
                <c:pt idx="49">
                  <c:v>2100</c:v>
                </c:pt>
                <c:pt idx="50">
                  <c:v>2100</c:v>
                </c:pt>
                <c:pt idx="51">
                  <c:v>2100</c:v>
                </c:pt>
                <c:pt idx="52">
                  <c:v>2100</c:v>
                </c:pt>
                <c:pt idx="53">
                  <c:v>2100</c:v>
                </c:pt>
                <c:pt idx="54">
                  <c:v>2100</c:v>
                </c:pt>
                <c:pt idx="55">
                  <c:v>2100</c:v>
                </c:pt>
                <c:pt idx="56">
                  <c:v>2100</c:v>
                </c:pt>
                <c:pt idx="57">
                  <c:v>2100</c:v>
                </c:pt>
                <c:pt idx="58">
                  <c:v>2100</c:v>
                </c:pt>
                <c:pt idx="59">
                  <c:v>2100</c:v>
                </c:pt>
                <c:pt idx="60">
                  <c:v>2100</c:v>
                </c:pt>
                <c:pt idx="61">
                  <c:v>2100</c:v>
                </c:pt>
                <c:pt idx="62">
                  <c:v>2100</c:v>
                </c:pt>
                <c:pt idx="63">
                  <c:v>2100</c:v>
                </c:pt>
                <c:pt idx="64">
                  <c:v>2100</c:v>
                </c:pt>
                <c:pt idx="65">
                  <c:v>2100</c:v>
                </c:pt>
                <c:pt idx="66">
                  <c:v>2100</c:v>
                </c:pt>
                <c:pt idx="67">
                  <c:v>2100</c:v>
                </c:pt>
                <c:pt idx="68">
                  <c:v>2100</c:v>
                </c:pt>
                <c:pt idx="69">
                  <c:v>2100</c:v>
                </c:pt>
                <c:pt idx="70">
                  <c:v>2100</c:v>
                </c:pt>
                <c:pt idx="71">
                  <c:v>2100</c:v>
                </c:pt>
                <c:pt idx="72">
                  <c:v>2100</c:v>
                </c:pt>
                <c:pt idx="73">
                  <c:v>2100</c:v>
                </c:pt>
                <c:pt idx="74">
                  <c:v>2100</c:v>
                </c:pt>
                <c:pt idx="75">
                  <c:v>2100</c:v>
                </c:pt>
                <c:pt idx="76">
                  <c:v>2100</c:v>
                </c:pt>
                <c:pt idx="77">
                  <c:v>2100</c:v>
                </c:pt>
                <c:pt idx="78">
                  <c:v>2100</c:v>
                </c:pt>
                <c:pt idx="79">
                  <c:v>2100</c:v>
                </c:pt>
              </c:numCache>
            </c:numRef>
          </c:yVal>
          <c:smooth val="0"/>
          <c:extLst>
            <c:ext xmlns:c16="http://schemas.microsoft.com/office/drawing/2014/chart" uri="{C3380CC4-5D6E-409C-BE32-E72D297353CC}">
              <c16:uniqueId val="{00000000-14CC-4527-A69C-016046E6EBCF}"/>
            </c:ext>
          </c:extLst>
        </c:ser>
        <c:dLbls>
          <c:showLegendKey val="0"/>
          <c:showVal val="0"/>
          <c:showCatName val="0"/>
          <c:showSerName val="0"/>
          <c:showPercent val="0"/>
          <c:showBubbleSize val="0"/>
        </c:dLbls>
        <c:axId val="165162368"/>
        <c:axId val="165176832"/>
      </c:scatterChart>
      <c:valAx>
        <c:axId val="165162368"/>
        <c:scaling>
          <c:orientation val="minMax"/>
          <c:max val="38"/>
          <c:min val="2"/>
        </c:scaling>
        <c:delete val="0"/>
        <c:axPos val="b"/>
        <c:majorGridlines/>
        <c:minorGridlines/>
        <c:title>
          <c:tx>
            <c:rich>
              <a:bodyPr/>
              <a:lstStyle/>
              <a:p>
                <a:pPr>
                  <a:defRPr/>
                </a:pPr>
                <a:r>
                  <a:rPr lang="en-US"/>
                  <a:t>Input Voltage (V)</a:t>
                </a:r>
              </a:p>
            </c:rich>
          </c:tx>
          <c:overlay val="0"/>
        </c:title>
        <c:numFmt formatCode="General" sourceLinked="1"/>
        <c:majorTickMark val="out"/>
        <c:minorTickMark val="none"/>
        <c:tickLblPos val="nextTo"/>
        <c:crossAx val="165176832"/>
        <c:crosses val="autoZero"/>
        <c:crossBetween val="midCat"/>
        <c:majorUnit val="2"/>
        <c:minorUnit val="1"/>
      </c:valAx>
      <c:valAx>
        <c:axId val="165176832"/>
        <c:scaling>
          <c:orientation val="minMax"/>
        </c:scaling>
        <c:delete val="0"/>
        <c:axPos val="l"/>
        <c:majorGridlines/>
        <c:minorGridlines/>
        <c:title>
          <c:tx>
            <c:rich>
              <a:bodyPr rot="-5400000" vert="horz"/>
              <a:lstStyle/>
              <a:p>
                <a:pPr>
                  <a:defRPr/>
                </a:pPr>
                <a:r>
                  <a:rPr lang="en-US"/>
                  <a:t>Switching Frequency (kHz)</a:t>
                </a:r>
              </a:p>
            </c:rich>
          </c:tx>
          <c:overlay val="0"/>
        </c:title>
        <c:numFmt formatCode="#,##0.0" sourceLinked="1"/>
        <c:majorTickMark val="out"/>
        <c:minorTickMark val="none"/>
        <c:tickLblPos val="nextTo"/>
        <c:crossAx val="165162368"/>
        <c:crosses val="autoZero"/>
        <c:crossBetween val="midCat"/>
        <c:majorUnit val="250"/>
        <c:minorUnit val="125"/>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1"/>
          <c:xVal>
            <c:numRef>
              <c:f>Current_limit!$N$23:$N$641</c:f>
              <c:numCache>
                <c:formatCode>0.000</c:formatCode>
                <c:ptCount val="619"/>
                <c:pt idx="0">
                  <c:v>0.1</c:v>
                </c:pt>
                <c:pt idx="1">
                  <c:v>0.2</c:v>
                </c:pt>
                <c:pt idx="2">
                  <c:v>0.30000000000000004</c:v>
                </c:pt>
                <c:pt idx="3">
                  <c:v>0.4</c:v>
                </c:pt>
                <c:pt idx="4">
                  <c:v>0.5</c:v>
                </c:pt>
                <c:pt idx="5">
                  <c:v>0.6</c:v>
                </c:pt>
                <c:pt idx="6">
                  <c:v>0.7</c:v>
                </c:pt>
                <c:pt idx="7">
                  <c:v>0.79999999999999993</c:v>
                </c:pt>
                <c:pt idx="8">
                  <c:v>0.89999999999999991</c:v>
                </c:pt>
                <c:pt idx="9">
                  <c:v>0.90999999999999992</c:v>
                </c:pt>
                <c:pt idx="10">
                  <c:v>0.91999999999999993</c:v>
                </c:pt>
                <c:pt idx="11">
                  <c:v>0.92999999999999994</c:v>
                </c:pt>
                <c:pt idx="12">
                  <c:v>0.94</c:v>
                </c:pt>
                <c:pt idx="13">
                  <c:v>0.95</c:v>
                </c:pt>
                <c:pt idx="14">
                  <c:v>0.96</c:v>
                </c:pt>
                <c:pt idx="15">
                  <c:v>0.97</c:v>
                </c:pt>
                <c:pt idx="16">
                  <c:v>0.98</c:v>
                </c:pt>
                <c:pt idx="17">
                  <c:v>0.99</c:v>
                </c:pt>
                <c:pt idx="18">
                  <c:v>1</c:v>
                </c:pt>
                <c:pt idx="19">
                  <c:v>1.01</c:v>
                </c:pt>
                <c:pt idx="20">
                  <c:v>1.02</c:v>
                </c:pt>
                <c:pt idx="21">
                  <c:v>1.03</c:v>
                </c:pt>
                <c:pt idx="22">
                  <c:v>1.04</c:v>
                </c:pt>
                <c:pt idx="23">
                  <c:v>1.05</c:v>
                </c:pt>
                <c:pt idx="24">
                  <c:v>1.06</c:v>
                </c:pt>
                <c:pt idx="25">
                  <c:v>1.07</c:v>
                </c:pt>
                <c:pt idx="26">
                  <c:v>1.08</c:v>
                </c:pt>
                <c:pt idx="27">
                  <c:v>1.0900000000000001</c:v>
                </c:pt>
                <c:pt idx="28">
                  <c:v>1.1000000000000001</c:v>
                </c:pt>
                <c:pt idx="29">
                  <c:v>1.1100000000000001</c:v>
                </c:pt>
                <c:pt idx="30">
                  <c:v>1.1200000000000001</c:v>
                </c:pt>
                <c:pt idx="31">
                  <c:v>1.1300000000000001</c:v>
                </c:pt>
                <c:pt idx="32">
                  <c:v>1.1400000000000001</c:v>
                </c:pt>
                <c:pt idx="33">
                  <c:v>1.1500000000000001</c:v>
                </c:pt>
                <c:pt idx="34">
                  <c:v>1.1600000000000001</c:v>
                </c:pt>
                <c:pt idx="35">
                  <c:v>1.1700000000000002</c:v>
                </c:pt>
                <c:pt idx="36">
                  <c:v>1.1800000000000002</c:v>
                </c:pt>
                <c:pt idx="37">
                  <c:v>1.1900000000000002</c:v>
                </c:pt>
                <c:pt idx="38">
                  <c:v>1.2000000000000002</c:v>
                </c:pt>
                <c:pt idx="39">
                  <c:v>1.2100000000000002</c:v>
                </c:pt>
                <c:pt idx="40">
                  <c:v>1.2200000000000002</c:v>
                </c:pt>
                <c:pt idx="41">
                  <c:v>1.2300000000000002</c:v>
                </c:pt>
                <c:pt idx="42">
                  <c:v>1.2400000000000002</c:v>
                </c:pt>
                <c:pt idx="43">
                  <c:v>1.2500000000000002</c:v>
                </c:pt>
                <c:pt idx="44">
                  <c:v>1.2600000000000002</c:v>
                </c:pt>
                <c:pt idx="45">
                  <c:v>1.2700000000000002</c:v>
                </c:pt>
                <c:pt idx="46">
                  <c:v>1.2800000000000002</c:v>
                </c:pt>
                <c:pt idx="47">
                  <c:v>1.2900000000000003</c:v>
                </c:pt>
                <c:pt idx="48">
                  <c:v>1.3000000000000003</c:v>
                </c:pt>
                <c:pt idx="49">
                  <c:v>1.3100000000000003</c:v>
                </c:pt>
                <c:pt idx="50">
                  <c:v>1.3200000000000003</c:v>
                </c:pt>
                <c:pt idx="51">
                  <c:v>1.3300000000000003</c:v>
                </c:pt>
                <c:pt idx="52">
                  <c:v>1.3400000000000003</c:v>
                </c:pt>
                <c:pt idx="53">
                  <c:v>1.3500000000000003</c:v>
                </c:pt>
                <c:pt idx="54">
                  <c:v>1.3600000000000003</c:v>
                </c:pt>
                <c:pt idx="55">
                  <c:v>1.3700000000000003</c:v>
                </c:pt>
                <c:pt idx="56">
                  <c:v>1.3800000000000003</c:v>
                </c:pt>
                <c:pt idx="57">
                  <c:v>1.3900000000000003</c:v>
                </c:pt>
                <c:pt idx="58">
                  <c:v>1.4000000000000004</c:v>
                </c:pt>
                <c:pt idx="59">
                  <c:v>1.4100000000000004</c:v>
                </c:pt>
                <c:pt idx="60">
                  <c:v>1.4200000000000004</c:v>
                </c:pt>
                <c:pt idx="61">
                  <c:v>1.4300000000000004</c:v>
                </c:pt>
                <c:pt idx="62">
                  <c:v>1.4400000000000004</c:v>
                </c:pt>
                <c:pt idx="63">
                  <c:v>1.4500000000000004</c:v>
                </c:pt>
                <c:pt idx="64">
                  <c:v>1.4600000000000004</c:v>
                </c:pt>
                <c:pt idx="65">
                  <c:v>1.4700000000000004</c:v>
                </c:pt>
                <c:pt idx="66">
                  <c:v>1.4800000000000004</c:v>
                </c:pt>
                <c:pt idx="67">
                  <c:v>1.4900000000000004</c:v>
                </c:pt>
                <c:pt idx="68">
                  <c:v>1.5000000000000004</c:v>
                </c:pt>
                <c:pt idx="69">
                  <c:v>1.5100000000000005</c:v>
                </c:pt>
                <c:pt idx="70">
                  <c:v>1.5200000000000005</c:v>
                </c:pt>
                <c:pt idx="71">
                  <c:v>1.5300000000000005</c:v>
                </c:pt>
                <c:pt idx="72">
                  <c:v>1.5400000000000005</c:v>
                </c:pt>
                <c:pt idx="73">
                  <c:v>1.5500000000000005</c:v>
                </c:pt>
                <c:pt idx="74">
                  <c:v>1.5600000000000005</c:v>
                </c:pt>
                <c:pt idx="75">
                  <c:v>1.5700000000000005</c:v>
                </c:pt>
                <c:pt idx="76">
                  <c:v>1.5800000000000005</c:v>
                </c:pt>
                <c:pt idx="77">
                  <c:v>1.5900000000000005</c:v>
                </c:pt>
                <c:pt idx="78">
                  <c:v>1.6000000000000005</c:v>
                </c:pt>
                <c:pt idx="79">
                  <c:v>1.6100000000000005</c:v>
                </c:pt>
                <c:pt idx="80">
                  <c:v>1.6200000000000006</c:v>
                </c:pt>
                <c:pt idx="81">
                  <c:v>1.6300000000000006</c:v>
                </c:pt>
                <c:pt idx="82">
                  <c:v>1.6400000000000006</c:v>
                </c:pt>
                <c:pt idx="83">
                  <c:v>1.6500000000000006</c:v>
                </c:pt>
                <c:pt idx="84">
                  <c:v>1.6600000000000006</c:v>
                </c:pt>
                <c:pt idx="85">
                  <c:v>1.6700000000000006</c:v>
                </c:pt>
                <c:pt idx="86">
                  <c:v>1.6800000000000006</c:v>
                </c:pt>
                <c:pt idx="87">
                  <c:v>1.6900000000000006</c:v>
                </c:pt>
                <c:pt idx="88">
                  <c:v>1.7000000000000006</c:v>
                </c:pt>
                <c:pt idx="89">
                  <c:v>1.7100000000000006</c:v>
                </c:pt>
                <c:pt idx="90">
                  <c:v>1.7200000000000006</c:v>
                </c:pt>
                <c:pt idx="91">
                  <c:v>1.7300000000000006</c:v>
                </c:pt>
                <c:pt idx="92">
                  <c:v>1.7400000000000007</c:v>
                </c:pt>
                <c:pt idx="93">
                  <c:v>1.7500000000000007</c:v>
                </c:pt>
                <c:pt idx="94">
                  <c:v>1.7600000000000007</c:v>
                </c:pt>
                <c:pt idx="95">
                  <c:v>1.7700000000000007</c:v>
                </c:pt>
                <c:pt idx="96">
                  <c:v>1.7800000000000007</c:v>
                </c:pt>
                <c:pt idx="97">
                  <c:v>1.7900000000000007</c:v>
                </c:pt>
                <c:pt idx="98">
                  <c:v>1.8000000000000007</c:v>
                </c:pt>
                <c:pt idx="99">
                  <c:v>1.8100000000000007</c:v>
                </c:pt>
                <c:pt idx="100">
                  <c:v>1.8200000000000007</c:v>
                </c:pt>
                <c:pt idx="101">
                  <c:v>1.8300000000000007</c:v>
                </c:pt>
                <c:pt idx="102">
                  <c:v>1.8400000000000007</c:v>
                </c:pt>
                <c:pt idx="103">
                  <c:v>1.8500000000000008</c:v>
                </c:pt>
                <c:pt idx="104">
                  <c:v>1.8600000000000008</c:v>
                </c:pt>
                <c:pt idx="105">
                  <c:v>1.8700000000000008</c:v>
                </c:pt>
                <c:pt idx="106">
                  <c:v>1.8800000000000008</c:v>
                </c:pt>
                <c:pt idx="107">
                  <c:v>1.8900000000000008</c:v>
                </c:pt>
                <c:pt idx="108">
                  <c:v>1.9000000000000008</c:v>
                </c:pt>
                <c:pt idx="109">
                  <c:v>1.9100000000000008</c:v>
                </c:pt>
                <c:pt idx="110">
                  <c:v>1.9200000000000008</c:v>
                </c:pt>
                <c:pt idx="111">
                  <c:v>1.9300000000000008</c:v>
                </c:pt>
                <c:pt idx="112">
                  <c:v>1.9400000000000008</c:v>
                </c:pt>
                <c:pt idx="113">
                  <c:v>1.9500000000000008</c:v>
                </c:pt>
                <c:pt idx="114">
                  <c:v>1.9600000000000009</c:v>
                </c:pt>
                <c:pt idx="115">
                  <c:v>1.9700000000000009</c:v>
                </c:pt>
                <c:pt idx="116">
                  <c:v>1.9800000000000009</c:v>
                </c:pt>
                <c:pt idx="117">
                  <c:v>1.9900000000000009</c:v>
                </c:pt>
                <c:pt idx="118">
                  <c:v>2.0000000000000009</c:v>
                </c:pt>
                <c:pt idx="119">
                  <c:v>2.0100000000000007</c:v>
                </c:pt>
                <c:pt idx="120">
                  <c:v>2.0200000000000005</c:v>
                </c:pt>
                <c:pt idx="121">
                  <c:v>2.0300000000000002</c:v>
                </c:pt>
                <c:pt idx="122">
                  <c:v>2.04</c:v>
                </c:pt>
                <c:pt idx="123">
                  <c:v>2.0499999999999998</c:v>
                </c:pt>
                <c:pt idx="124">
                  <c:v>2.0599999999999996</c:v>
                </c:pt>
                <c:pt idx="125">
                  <c:v>2.0699999999999994</c:v>
                </c:pt>
                <c:pt idx="126">
                  <c:v>2.0799999999999992</c:v>
                </c:pt>
                <c:pt idx="127">
                  <c:v>2.089999999999999</c:v>
                </c:pt>
                <c:pt idx="128">
                  <c:v>2.0999999999999988</c:v>
                </c:pt>
                <c:pt idx="129">
                  <c:v>2.1099999999999985</c:v>
                </c:pt>
                <c:pt idx="130">
                  <c:v>2.1199999999999983</c:v>
                </c:pt>
                <c:pt idx="131">
                  <c:v>2.1299999999999981</c:v>
                </c:pt>
                <c:pt idx="132">
                  <c:v>2.1399999999999979</c:v>
                </c:pt>
                <c:pt idx="133">
                  <c:v>2.1499999999999977</c:v>
                </c:pt>
                <c:pt idx="134">
                  <c:v>2.1599999999999975</c:v>
                </c:pt>
                <c:pt idx="135">
                  <c:v>2.1699999999999973</c:v>
                </c:pt>
                <c:pt idx="136">
                  <c:v>2.1799999999999971</c:v>
                </c:pt>
                <c:pt idx="137">
                  <c:v>2.1899999999999968</c:v>
                </c:pt>
                <c:pt idx="138">
                  <c:v>2.1999999999999966</c:v>
                </c:pt>
                <c:pt idx="139">
                  <c:v>2.2099999999999964</c:v>
                </c:pt>
                <c:pt idx="140">
                  <c:v>2.2199999999999962</c:v>
                </c:pt>
                <c:pt idx="141">
                  <c:v>2.229999999999996</c:v>
                </c:pt>
                <c:pt idx="142">
                  <c:v>2.2399999999999958</c:v>
                </c:pt>
                <c:pt idx="143">
                  <c:v>2.2499999999999956</c:v>
                </c:pt>
                <c:pt idx="144">
                  <c:v>2.2599999999999953</c:v>
                </c:pt>
                <c:pt idx="145">
                  <c:v>2.2699999999999951</c:v>
                </c:pt>
                <c:pt idx="146">
                  <c:v>2.2799999999999949</c:v>
                </c:pt>
                <c:pt idx="147">
                  <c:v>2.2899999999999947</c:v>
                </c:pt>
                <c:pt idx="148">
                  <c:v>2.2999999999999945</c:v>
                </c:pt>
                <c:pt idx="149">
                  <c:v>2.3099999999999943</c:v>
                </c:pt>
                <c:pt idx="150">
                  <c:v>2.3199999999999941</c:v>
                </c:pt>
                <c:pt idx="151">
                  <c:v>2.3299999999999939</c:v>
                </c:pt>
                <c:pt idx="152">
                  <c:v>2.3399999999999936</c:v>
                </c:pt>
                <c:pt idx="153">
                  <c:v>2.3499999999999934</c:v>
                </c:pt>
                <c:pt idx="154">
                  <c:v>2.3599999999999932</c:v>
                </c:pt>
                <c:pt idx="155">
                  <c:v>2.369999999999993</c:v>
                </c:pt>
                <c:pt idx="156">
                  <c:v>2.3799999999999928</c:v>
                </c:pt>
                <c:pt idx="157">
                  <c:v>2.3899999999999926</c:v>
                </c:pt>
                <c:pt idx="158">
                  <c:v>2.3999999999999924</c:v>
                </c:pt>
                <c:pt idx="159">
                  <c:v>2.4099999999999921</c:v>
                </c:pt>
                <c:pt idx="160">
                  <c:v>2.4199999999999919</c:v>
                </c:pt>
                <c:pt idx="161">
                  <c:v>2.4299999999999917</c:v>
                </c:pt>
                <c:pt idx="162">
                  <c:v>2.4399999999999915</c:v>
                </c:pt>
                <c:pt idx="163">
                  <c:v>2.4499999999999913</c:v>
                </c:pt>
                <c:pt idx="164">
                  <c:v>2.4599999999999911</c:v>
                </c:pt>
                <c:pt idx="165">
                  <c:v>2.4699999999999909</c:v>
                </c:pt>
                <c:pt idx="166">
                  <c:v>2.4799999999999907</c:v>
                </c:pt>
                <c:pt idx="167">
                  <c:v>2.4899999999999904</c:v>
                </c:pt>
                <c:pt idx="168">
                  <c:v>2.4999999999999902</c:v>
                </c:pt>
                <c:pt idx="169">
                  <c:v>2.50999999999999</c:v>
                </c:pt>
                <c:pt idx="170">
                  <c:v>2.5199999999999898</c:v>
                </c:pt>
                <c:pt idx="171">
                  <c:v>2.5299999999999896</c:v>
                </c:pt>
                <c:pt idx="172">
                  <c:v>2.5399999999999894</c:v>
                </c:pt>
                <c:pt idx="173">
                  <c:v>2.5499999999999892</c:v>
                </c:pt>
                <c:pt idx="174">
                  <c:v>2.559999999999989</c:v>
                </c:pt>
                <c:pt idx="175">
                  <c:v>2.5699999999999887</c:v>
                </c:pt>
                <c:pt idx="176">
                  <c:v>2.5799999999999885</c:v>
                </c:pt>
                <c:pt idx="177">
                  <c:v>2.5899999999999883</c:v>
                </c:pt>
                <c:pt idx="178">
                  <c:v>2.5999999999999881</c:v>
                </c:pt>
                <c:pt idx="179">
                  <c:v>2.6099999999999879</c:v>
                </c:pt>
                <c:pt idx="180">
                  <c:v>2.6199999999999877</c:v>
                </c:pt>
                <c:pt idx="181">
                  <c:v>2.6299999999999875</c:v>
                </c:pt>
                <c:pt idx="182">
                  <c:v>2.6399999999999872</c:v>
                </c:pt>
                <c:pt idx="183">
                  <c:v>2.649999999999987</c:v>
                </c:pt>
                <c:pt idx="184">
                  <c:v>2.6599999999999868</c:v>
                </c:pt>
                <c:pt idx="185">
                  <c:v>2.6699999999999866</c:v>
                </c:pt>
                <c:pt idx="186">
                  <c:v>2.6799999999999864</c:v>
                </c:pt>
                <c:pt idx="187">
                  <c:v>2.6899999999999862</c:v>
                </c:pt>
                <c:pt idx="188">
                  <c:v>2.699999999999986</c:v>
                </c:pt>
                <c:pt idx="189">
                  <c:v>2.7099999999999858</c:v>
                </c:pt>
                <c:pt idx="190">
                  <c:v>2.7199999999999855</c:v>
                </c:pt>
                <c:pt idx="191">
                  <c:v>2.7299999999999853</c:v>
                </c:pt>
                <c:pt idx="192">
                  <c:v>2.7399999999999851</c:v>
                </c:pt>
                <c:pt idx="193">
                  <c:v>2.7499999999999849</c:v>
                </c:pt>
                <c:pt idx="194">
                  <c:v>2.7599999999999847</c:v>
                </c:pt>
                <c:pt idx="195">
                  <c:v>2.7699999999999845</c:v>
                </c:pt>
                <c:pt idx="196">
                  <c:v>2.7799999999999843</c:v>
                </c:pt>
                <c:pt idx="197">
                  <c:v>2.789999999999984</c:v>
                </c:pt>
                <c:pt idx="198">
                  <c:v>2.7999999999999838</c:v>
                </c:pt>
                <c:pt idx="199">
                  <c:v>2.8099999999999836</c:v>
                </c:pt>
                <c:pt idx="200">
                  <c:v>2.8199999999999834</c:v>
                </c:pt>
                <c:pt idx="201">
                  <c:v>2.8299999999999832</c:v>
                </c:pt>
                <c:pt idx="202">
                  <c:v>2.839999999999983</c:v>
                </c:pt>
                <c:pt idx="203">
                  <c:v>2.8499999999999828</c:v>
                </c:pt>
                <c:pt idx="204">
                  <c:v>2.8599999999999826</c:v>
                </c:pt>
                <c:pt idx="205">
                  <c:v>2.8699999999999823</c:v>
                </c:pt>
                <c:pt idx="206">
                  <c:v>2.8799999999999821</c:v>
                </c:pt>
                <c:pt idx="207">
                  <c:v>2.8899999999999819</c:v>
                </c:pt>
                <c:pt idx="208">
                  <c:v>2.8999999999999817</c:v>
                </c:pt>
                <c:pt idx="209">
                  <c:v>2.9099999999999815</c:v>
                </c:pt>
                <c:pt idx="210">
                  <c:v>2.9199999999999813</c:v>
                </c:pt>
                <c:pt idx="211">
                  <c:v>2.9299999999999811</c:v>
                </c:pt>
                <c:pt idx="212">
                  <c:v>2.9399999999999809</c:v>
                </c:pt>
                <c:pt idx="213">
                  <c:v>2.9499999999999806</c:v>
                </c:pt>
                <c:pt idx="214">
                  <c:v>2.9599999999999804</c:v>
                </c:pt>
                <c:pt idx="215">
                  <c:v>2.9699999999999802</c:v>
                </c:pt>
                <c:pt idx="216">
                  <c:v>2.97999999999998</c:v>
                </c:pt>
                <c:pt idx="217">
                  <c:v>2.9899999999999798</c:v>
                </c:pt>
                <c:pt idx="218">
                  <c:v>2.9999999999999796</c:v>
                </c:pt>
                <c:pt idx="219">
                  <c:v>3.0099999999999794</c:v>
                </c:pt>
                <c:pt idx="220">
                  <c:v>3.0199999999999791</c:v>
                </c:pt>
                <c:pt idx="221">
                  <c:v>3.0299999999999789</c:v>
                </c:pt>
                <c:pt idx="222">
                  <c:v>3.0399999999999787</c:v>
                </c:pt>
                <c:pt idx="223">
                  <c:v>3.0499999999999785</c:v>
                </c:pt>
                <c:pt idx="224">
                  <c:v>3.0599999999999783</c:v>
                </c:pt>
                <c:pt idx="225">
                  <c:v>3.0699999999999781</c:v>
                </c:pt>
                <c:pt idx="226">
                  <c:v>3.0799999999999779</c:v>
                </c:pt>
                <c:pt idx="227">
                  <c:v>3.0899999999999777</c:v>
                </c:pt>
                <c:pt idx="228">
                  <c:v>3.0999999999999774</c:v>
                </c:pt>
                <c:pt idx="229">
                  <c:v>3.1099999999999772</c:v>
                </c:pt>
                <c:pt idx="230">
                  <c:v>3.119999999999977</c:v>
                </c:pt>
                <c:pt idx="231">
                  <c:v>3.1299999999999768</c:v>
                </c:pt>
                <c:pt idx="232">
                  <c:v>3.1399999999999766</c:v>
                </c:pt>
                <c:pt idx="233">
                  <c:v>3.1499999999999764</c:v>
                </c:pt>
                <c:pt idx="234">
                  <c:v>3.1599999999999762</c:v>
                </c:pt>
                <c:pt idx="235">
                  <c:v>3.1699999999999759</c:v>
                </c:pt>
                <c:pt idx="236">
                  <c:v>3.1799999999999757</c:v>
                </c:pt>
                <c:pt idx="237">
                  <c:v>3.1899999999999755</c:v>
                </c:pt>
                <c:pt idx="238">
                  <c:v>3.1999999999999753</c:v>
                </c:pt>
                <c:pt idx="239">
                  <c:v>3.2099999999999751</c:v>
                </c:pt>
                <c:pt idx="240">
                  <c:v>3.2199999999999749</c:v>
                </c:pt>
                <c:pt idx="241">
                  <c:v>3.2299999999999747</c:v>
                </c:pt>
                <c:pt idx="242">
                  <c:v>3.2399999999999745</c:v>
                </c:pt>
                <c:pt idx="243">
                  <c:v>3.2499999999999742</c:v>
                </c:pt>
                <c:pt idx="244">
                  <c:v>3.259999999999974</c:v>
                </c:pt>
                <c:pt idx="245">
                  <c:v>3.2699999999999738</c:v>
                </c:pt>
                <c:pt idx="246">
                  <c:v>3.2799999999999736</c:v>
                </c:pt>
                <c:pt idx="247">
                  <c:v>3.2899999999999734</c:v>
                </c:pt>
                <c:pt idx="248">
                  <c:v>3.2999999999999732</c:v>
                </c:pt>
                <c:pt idx="249">
                  <c:v>3.309999999999973</c:v>
                </c:pt>
                <c:pt idx="250">
                  <c:v>3.3199999999999728</c:v>
                </c:pt>
                <c:pt idx="251">
                  <c:v>3.3299999999999725</c:v>
                </c:pt>
                <c:pt idx="252">
                  <c:v>3.3399999999999723</c:v>
                </c:pt>
                <c:pt idx="253">
                  <c:v>3.3499999999999721</c:v>
                </c:pt>
                <c:pt idx="254">
                  <c:v>3.3599999999999719</c:v>
                </c:pt>
                <c:pt idx="255">
                  <c:v>3.3699999999999717</c:v>
                </c:pt>
                <c:pt idx="256">
                  <c:v>3.3799999999999715</c:v>
                </c:pt>
                <c:pt idx="257">
                  <c:v>3.3899999999999713</c:v>
                </c:pt>
                <c:pt idx="258">
                  <c:v>3.399999999999971</c:v>
                </c:pt>
                <c:pt idx="259">
                  <c:v>3.4099999999999708</c:v>
                </c:pt>
                <c:pt idx="260">
                  <c:v>3.4199999999999706</c:v>
                </c:pt>
                <c:pt idx="261">
                  <c:v>3.4299999999999704</c:v>
                </c:pt>
                <c:pt idx="262">
                  <c:v>3.4399999999999702</c:v>
                </c:pt>
                <c:pt idx="263">
                  <c:v>3.44999999999997</c:v>
                </c:pt>
                <c:pt idx="264">
                  <c:v>3.4599999999999698</c:v>
                </c:pt>
                <c:pt idx="265">
                  <c:v>3.4699999999999696</c:v>
                </c:pt>
                <c:pt idx="266">
                  <c:v>3.4799999999999693</c:v>
                </c:pt>
                <c:pt idx="267">
                  <c:v>3.4899999999999691</c:v>
                </c:pt>
                <c:pt idx="268">
                  <c:v>3.4999999999999689</c:v>
                </c:pt>
                <c:pt idx="269">
                  <c:v>3.5099999999999687</c:v>
                </c:pt>
                <c:pt idx="270">
                  <c:v>3.5199999999999685</c:v>
                </c:pt>
                <c:pt idx="271">
                  <c:v>3.5299999999999683</c:v>
                </c:pt>
                <c:pt idx="272">
                  <c:v>3.5399999999999681</c:v>
                </c:pt>
                <c:pt idx="273">
                  <c:v>3.5499999999999678</c:v>
                </c:pt>
                <c:pt idx="274">
                  <c:v>3.55</c:v>
                </c:pt>
                <c:pt idx="275">
                  <c:v>3.55</c:v>
                </c:pt>
                <c:pt idx="276">
                  <c:v>3.55</c:v>
                </c:pt>
                <c:pt idx="277">
                  <c:v>3.55</c:v>
                </c:pt>
                <c:pt idx="278">
                  <c:v>3.55</c:v>
                </c:pt>
                <c:pt idx="279">
                  <c:v>3.55</c:v>
                </c:pt>
                <c:pt idx="280">
                  <c:v>3.55</c:v>
                </c:pt>
                <c:pt idx="281">
                  <c:v>3.55</c:v>
                </c:pt>
                <c:pt idx="282">
                  <c:v>3.55</c:v>
                </c:pt>
                <c:pt idx="283">
                  <c:v>3.55</c:v>
                </c:pt>
                <c:pt idx="284">
                  <c:v>3.55</c:v>
                </c:pt>
                <c:pt idx="285">
                  <c:v>3.55</c:v>
                </c:pt>
                <c:pt idx="286">
                  <c:v>3.55</c:v>
                </c:pt>
                <c:pt idx="287">
                  <c:v>3.55</c:v>
                </c:pt>
                <c:pt idx="288">
                  <c:v>3.55</c:v>
                </c:pt>
                <c:pt idx="289">
                  <c:v>3.55</c:v>
                </c:pt>
                <c:pt idx="290">
                  <c:v>3.55</c:v>
                </c:pt>
                <c:pt idx="291">
                  <c:v>3.55</c:v>
                </c:pt>
                <c:pt idx="292">
                  <c:v>3.55</c:v>
                </c:pt>
                <c:pt idx="293">
                  <c:v>3.55</c:v>
                </c:pt>
                <c:pt idx="294">
                  <c:v>3.55</c:v>
                </c:pt>
                <c:pt idx="295">
                  <c:v>3.55</c:v>
                </c:pt>
                <c:pt idx="296">
                  <c:v>3.55</c:v>
                </c:pt>
                <c:pt idx="297">
                  <c:v>3.55</c:v>
                </c:pt>
                <c:pt idx="298">
                  <c:v>3.55</c:v>
                </c:pt>
                <c:pt idx="299">
                  <c:v>3.55</c:v>
                </c:pt>
                <c:pt idx="300">
                  <c:v>3.55</c:v>
                </c:pt>
                <c:pt idx="301">
                  <c:v>3.55</c:v>
                </c:pt>
                <c:pt idx="302">
                  <c:v>3.55</c:v>
                </c:pt>
                <c:pt idx="303">
                  <c:v>3.55</c:v>
                </c:pt>
                <c:pt idx="304">
                  <c:v>3.55</c:v>
                </c:pt>
                <c:pt idx="305">
                  <c:v>3.55</c:v>
                </c:pt>
                <c:pt idx="306">
                  <c:v>3.55</c:v>
                </c:pt>
                <c:pt idx="307">
                  <c:v>3.55</c:v>
                </c:pt>
                <c:pt idx="308">
                  <c:v>3.55</c:v>
                </c:pt>
                <c:pt idx="309">
                  <c:v>3.55</c:v>
                </c:pt>
                <c:pt idx="310">
                  <c:v>3.55</c:v>
                </c:pt>
                <c:pt idx="311">
                  <c:v>3.55</c:v>
                </c:pt>
                <c:pt idx="312">
                  <c:v>3.55</c:v>
                </c:pt>
                <c:pt idx="313">
                  <c:v>3.55</c:v>
                </c:pt>
                <c:pt idx="314">
                  <c:v>3.55</c:v>
                </c:pt>
                <c:pt idx="315">
                  <c:v>3.55</c:v>
                </c:pt>
                <c:pt idx="316">
                  <c:v>3.55</c:v>
                </c:pt>
                <c:pt idx="317">
                  <c:v>3.55</c:v>
                </c:pt>
                <c:pt idx="318">
                  <c:v>3.55</c:v>
                </c:pt>
                <c:pt idx="319">
                  <c:v>3.55</c:v>
                </c:pt>
                <c:pt idx="320">
                  <c:v>3.55</c:v>
                </c:pt>
                <c:pt idx="321">
                  <c:v>3.55</c:v>
                </c:pt>
                <c:pt idx="322">
                  <c:v>3.55</c:v>
                </c:pt>
                <c:pt idx="323">
                  <c:v>3.55</c:v>
                </c:pt>
                <c:pt idx="324">
                  <c:v>3.55</c:v>
                </c:pt>
                <c:pt idx="325">
                  <c:v>3.55</c:v>
                </c:pt>
                <c:pt idx="326">
                  <c:v>3.55</c:v>
                </c:pt>
                <c:pt idx="327">
                  <c:v>3.55</c:v>
                </c:pt>
                <c:pt idx="328">
                  <c:v>3.55</c:v>
                </c:pt>
                <c:pt idx="329">
                  <c:v>3.55</c:v>
                </c:pt>
                <c:pt idx="330">
                  <c:v>3.55</c:v>
                </c:pt>
                <c:pt idx="331">
                  <c:v>3.55</c:v>
                </c:pt>
                <c:pt idx="332">
                  <c:v>3.55</c:v>
                </c:pt>
                <c:pt idx="333">
                  <c:v>3.55</c:v>
                </c:pt>
                <c:pt idx="334">
                  <c:v>3.55</c:v>
                </c:pt>
                <c:pt idx="335">
                  <c:v>3.55</c:v>
                </c:pt>
                <c:pt idx="336">
                  <c:v>3.55</c:v>
                </c:pt>
                <c:pt idx="337">
                  <c:v>3.55</c:v>
                </c:pt>
                <c:pt idx="338">
                  <c:v>3.55</c:v>
                </c:pt>
                <c:pt idx="339">
                  <c:v>3.55</c:v>
                </c:pt>
                <c:pt idx="340">
                  <c:v>3.55</c:v>
                </c:pt>
                <c:pt idx="341">
                  <c:v>3.55</c:v>
                </c:pt>
                <c:pt idx="342">
                  <c:v>3.55</c:v>
                </c:pt>
                <c:pt idx="343">
                  <c:v>3.55</c:v>
                </c:pt>
                <c:pt idx="344">
                  <c:v>3.55</c:v>
                </c:pt>
                <c:pt idx="345">
                  <c:v>3.55</c:v>
                </c:pt>
                <c:pt idx="346">
                  <c:v>3.55</c:v>
                </c:pt>
                <c:pt idx="347">
                  <c:v>3.55</c:v>
                </c:pt>
                <c:pt idx="348">
                  <c:v>3.55</c:v>
                </c:pt>
                <c:pt idx="349">
                  <c:v>3.55</c:v>
                </c:pt>
                <c:pt idx="350">
                  <c:v>3.55</c:v>
                </c:pt>
                <c:pt idx="351">
                  <c:v>3.55</c:v>
                </c:pt>
                <c:pt idx="352">
                  <c:v>3.55</c:v>
                </c:pt>
                <c:pt idx="353">
                  <c:v>3.55</c:v>
                </c:pt>
                <c:pt idx="354">
                  <c:v>3.55</c:v>
                </c:pt>
                <c:pt idx="355">
                  <c:v>3.55</c:v>
                </c:pt>
                <c:pt idx="356">
                  <c:v>3.55</c:v>
                </c:pt>
                <c:pt idx="357">
                  <c:v>3.55</c:v>
                </c:pt>
                <c:pt idx="358">
                  <c:v>3.55</c:v>
                </c:pt>
                <c:pt idx="359">
                  <c:v>3.55</c:v>
                </c:pt>
                <c:pt idx="360">
                  <c:v>3.55</c:v>
                </c:pt>
                <c:pt idx="361">
                  <c:v>3.55</c:v>
                </c:pt>
                <c:pt idx="362">
                  <c:v>3.55</c:v>
                </c:pt>
                <c:pt idx="363">
                  <c:v>3.55</c:v>
                </c:pt>
                <c:pt idx="364">
                  <c:v>3.55</c:v>
                </c:pt>
                <c:pt idx="365">
                  <c:v>3.55</c:v>
                </c:pt>
                <c:pt idx="366">
                  <c:v>3.55</c:v>
                </c:pt>
                <c:pt idx="367">
                  <c:v>3.55</c:v>
                </c:pt>
                <c:pt idx="368">
                  <c:v>3.55</c:v>
                </c:pt>
                <c:pt idx="369">
                  <c:v>3.55</c:v>
                </c:pt>
                <c:pt idx="370">
                  <c:v>3.55</c:v>
                </c:pt>
                <c:pt idx="371">
                  <c:v>3.55</c:v>
                </c:pt>
                <c:pt idx="372">
                  <c:v>3.55</c:v>
                </c:pt>
                <c:pt idx="373">
                  <c:v>3.55</c:v>
                </c:pt>
                <c:pt idx="374">
                  <c:v>3.55</c:v>
                </c:pt>
                <c:pt idx="375">
                  <c:v>3.55</c:v>
                </c:pt>
                <c:pt idx="376">
                  <c:v>3.55</c:v>
                </c:pt>
                <c:pt idx="377">
                  <c:v>3.55</c:v>
                </c:pt>
                <c:pt idx="378">
                  <c:v>3.55</c:v>
                </c:pt>
                <c:pt idx="379">
                  <c:v>3.55</c:v>
                </c:pt>
                <c:pt idx="380">
                  <c:v>3.55</c:v>
                </c:pt>
                <c:pt idx="381">
                  <c:v>3.55</c:v>
                </c:pt>
                <c:pt idx="382">
                  <c:v>3.55</c:v>
                </c:pt>
                <c:pt idx="383">
                  <c:v>3.55</c:v>
                </c:pt>
                <c:pt idx="384">
                  <c:v>3.55</c:v>
                </c:pt>
                <c:pt idx="385">
                  <c:v>3.55</c:v>
                </c:pt>
                <c:pt idx="386">
                  <c:v>3.55</c:v>
                </c:pt>
                <c:pt idx="387">
                  <c:v>3.55</c:v>
                </c:pt>
                <c:pt idx="388">
                  <c:v>3.55</c:v>
                </c:pt>
                <c:pt idx="389">
                  <c:v>3.55</c:v>
                </c:pt>
                <c:pt idx="390">
                  <c:v>3.55</c:v>
                </c:pt>
                <c:pt idx="391">
                  <c:v>3.55</c:v>
                </c:pt>
                <c:pt idx="392">
                  <c:v>3.55</c:v>
                </c:pt>
                <c:pt idx="393">
                  <c:v>3.55</c:v>
                </c:pt>
                <c:pt idx="394">
                  <c:v>3.55</c:v>
                </c:pt>
                <c:pt idx="395">
                  <c:v>3.55</c:v>
                </c:pt>
                <c:pt idx="396">
                  <c:v>3.55</c:v>
                </c:pt>
                <c:pt idx="397">
                  <c:v>3.55</c:v>
                </c:pt>
                <c:pt idx="398">
                  <c:v>3.55</c:v>
                </c:pt>
                <c:pt idx="399">
                  <c:v>3.55</c:v>
                </c:pt>
                <c:pt idx="400">
                  <c:v>3.55</c:v>
                </c:pt>
                <c:pt idx="401">
                  <c:v>3.55</c:v>
                </c:pt>
                <c:pt idx="402">
                  <c:v>3.55</c:v>
                </c:pt>
                <c:pt idx="403">
                  <c:v>3.55</c:v>
                </c:pt>
                <c:pt idx="404">
                  <c:v>3.55</c:v>
                </c:pt>
                <c:pt idx="405">
                  <c:v>3.55</c:v>
                </c:pt>
                <c:pt idx="406">
                  <c:v>3.55</c:v>
                </c:pt>
                <c:pt idx="407">
                  <c:v>3.55</c:v>
                </c:pt>
                <c:pt idx="408">
                  <c:v>3.55</c:v>
                </c:pt>
                <c:pt idx="409">
                  <c:v>3.55</c:v>
                </c:pt>
                <c:pt idx="410">
                  <c:v>3.55</c:v>
                </c:pt>
                <c:pt idx="411">
                  <c:v>3.55</c:v>
                </c:pt>
                <c:pt idx="412">
                  <c:v>3.55</c:v>
                </c:pt>
                <c:pt idx="413">
                  <c:v>3.55</c:v>
                </c:pt>
                <c:pt idx="414">
                  <c:v>3.55</c:v>
                </c:pt>
                <c:pt idx="415">
                  <c:v>3.55</c:v>
                </c:pt>
                <c:pt idx="416">
                  <c:v>3.55</c:v>
                </c:pt>
                <c:pt idx="417">
                  <c:v>3.55</c:v>
                </c:pt>
                <c:pt idx="418">
                  <c:v>3.55</c:v>
                </c:pt>
                <c:pt idx="419">
                  <c:v>3.55</c:v>
                </c:pt>
                <c:pt idx="420">
                  <c:v>3.55</c:v>
                </c:pt>
                <c:pt idx="421">
                  <c:v>3.55</c:v>
                </c:pt>
                <c:pt idx="422">
                  <c:v>3.55</c:v>
                </c:pt>
                <c:pt idx="423">
                  <c:v>3.55</c:v>
                </c:pt>
                <c:pt idx="424">
                  <c:v>3.55</c:v>
                </c:pt>
                <c:pt idx="425">
                  <c:v>3.55</c:v>
                </c:pt>
                <c:pt idx="426">
                  <c:v>3.55</c:v>
                </c:pt>
                <c:pt idx="427">
                  <c:v>3.55</c:v>
                </c:pt>
                <c:pt idx="428">
                  <c:v>3.55</c:v>
                </c:pt>
                <c:pt idx="429">
                  <c:v>3.55</c:v>
                </c:pt>
                <c:pt idx="430">
                  <c:v>3.55</c:v>
                </c:pt>
                <c:pt idx="431">
                  <c:v>3.55</c:v>
                </c:pt>
                <c:pt idx="432">
                  <c:v>3.55</c:v>
                </c:pt>
                <c:pt idx="433">
                  <c:v>3.55</c:v>
                </c:pt>
                <c:pt idx="434">
                  <c:v>3.55</c:v>
                </c:pt>
                <c:pt idx="435">
                  <c:v>3.55</c:v>
                </c:pt>
                <c:pt idx="436">
                  <c:v>3.55</c:v>
                </c:pt>
                <c:pt idx="437">
                  <c:v>3.55</c:v>
                </c:pt>
                <c:pt idx="438">
                  <c:v>3.55</c:v>
                </c:pt>
                <c:pt idx="439">
                  <c:v>3.55</c:v>
                </c:pt>
                <c:pt idx="440">
                  <c:v>3.55</c:v>
                </c:pt>
                <c:pt idx="441">
                  <c:v>3.55</c:v>
                </c:pt>
                <c:pt idx="442">
                  <c:v>3.55</c:v>
                </c:pt>
                <c:pt idx="443">
                  <c:v>3.55</c:v>
                </c:pt>
                <c:pt idx="444">
                  <c:v>3.55</c:v>
                </c:pt>
                <c:pt idx="445">
                  <c:v>3.55</c:v>
                </c:pt>
                <c:pt idx="446">
                  <c:v>3.55</c:v>
                </c:pt>
                <c:pt idx="447">
                  <c:v>3.55</c:v>
                </c:pt>
                <c:pt idx="448">
                  <c:v>3.55</c:v>
                </c:pt>
                <c:pt idx="449">
                  <c:v>3.55</c:v>
                </c:pt>
                <c:pt idx="450">
                  <c:v>3.55</c:v>
                </c:pt>
                <c:pt idx="451">
                  <c:v>3.55</c:v>
                </c:pt>
                <c:pt idx="452">
                  <c:v>3.55</c:v>
                </c:pt>
                <c:pt idx="453">
                  <c:v>3.55</c:v>
                </c:pt>
                <c:pt idx="454">
                  <c:v>3.55</c:v>
                </c:pt>
                <c:pt idx="455">
                  <c:v>3.55</c:v>
                </c:pt>
                <c:pt idx="456">
                  <c:v>3.55</c:v>
                </c:pt>
                <c:pt idx="457">
                  <c:v>3.55</c:v>
                </c:pt>
                <c:pt idx="458">
                  <c:v>3.55</c:v>
                </c:pt>
                <c:pt idx="459">
                  <c:v>3.55</c:v>
                </c:pt>
                <c:pt idx="460">
                  <c:v>3.55</c:v>
                </c:pt>
                <c:pt idx="461">
                  <c:v>3.55</c:v>
                </c:pt>
                <c:pt idx="462">
                  <c:v>3.55</c:v>
                </c:pt>
                <c:pt idx="463">
                  <c:v>3.55</c:v>
                </c:pt>
                <c:pt idx="464">
                  <c:v>3.55</c:v>
                </c:pt>
                <c:pt idx="465">
                  <c:v>3.55</c:v>
                </c:pt>
                <c:pt idx="466">
                  <c:v>3.55</c:v>
                </c:pt>
                <c:pt idx="467">
                  <c:v>3.55</c:v>
                </c:pt>
                <c:pt idx="468">
                  <c:v>3.55</c:v>
                </c:pt>
                <c:pt idx="469">
                  <c:v>3.55</c:v>
                </c:pt>
                <c:pt idx="470">
                  <c:v>3.55</c:v>
                </c:pt>
                <c:pt idx="471">
                  <c:v>3.55</c:v>
                </c:pt>
                <c:pt idx="472">
                  <c:v>3.55</c:v>
                </c:pt>
                <c:pt idx="473">
                  <c:v>3.55</c:v>
                </c:pt>
                <c:pt idx="474">
                  <c:v>3.55</c:v>
                </c:pt>
                <c:pt idx="475">
                  <c:v>3.55</c:v>
                </c:pt>
                <c:pt idx="476">
                  <c:v>3.55</c:v>
                </c:pt>
                <c:pt idx="477">
                  <c:v>3.55</c:v>
                </c:pt>
                <c:pt idx="478">
                  <c:v>3.55</c:v>
                </c:pt>
                <c:pt idx="479">
                  <c:v>3.55</c:v>
                </c:pt>
                <c:pt idx="480">
                  <c:v>3.55</c:v>
                </c:pt>
                <c:pt idx="481">
                  <c:v>3.55</c:v>
                </c:pt>
                <c:pt idx="482">
                  <c:v>3.55</c:v>
                </c:pt>
                <c:pt idx="483">
                  <c:v>3.55</c:v>
                </c:pt>
                <c:pt idx="484">
                  <c:v>3.55</c:v>
                </c:pt>
                <c:pt idx="485">
                  <c:v>3.55</c:v>
                </c:pt>
                <c:pt idx="486">
                  <c:v>3.55</c:v>
                </c:pt>
                <c:pt idx="487">
                  <c:v>3.55</c:v>
                </c:pt>
                <c:pt idx="488">
                  <c:v>3.55</c:v>
                </c:pt>
                <c:pt idx="489">
                  <c:v>3.55</c:v>
                </c:pt>
                <c:pt idx="490">
                  <c:v>3.55</c:v>
                </c:pt>
                <c:pt idx="491">
                  <c:v>3.55</c:v>
                </c:pt>
                <c:pt idx="492">
                  <c:v>3.55</c:v>
                </c:pt>
                <c:pt idx="493">
                  <c:v>3.55</c:v>
                </c:pt>
                <c:pt idx="494">
                  <c:v>3.55</c:v>
                </c:pt>
                <c:pt idx="495">
                  <c:v>3.55</c:v>
                </c:pt>
                <c:pt idx="496">
                  <c:v>3.55</c:v>
                </c:pt>
                <c:pt idx="497">
                  <c:v>3.55</c:v>
                </c:pt>
                <c:pt idx="498">
                  <c:v>3.55</c:v>
                </c:pt>
                <c:pt idx="499">
                  <c:v>3.55</c:v>
                </c:pt>
                <c:pt idx="500">
                  <c:v>3.55</c:v>
                </c:pt>
                <c:pt idx="501">
                  <c:v>3.55</c:v>
                </c:pt>
                <c:pt idx="502">
                  <c:v>3.55</c:v>
                </c:pt>
                <c:pt idx="503">
                  <c:v>3.55</c:v>
                </c:pt>
                <c:pt idx="504">
                  <c:v>3.55</c:v>
                </c:pt>
                <c:pt idx="505">
                  <c:v>3.55</c:v>
                </c:pt>
                <c:pt idx="506">
                  <c:v>3.55</c:v>
                </c:pt>
                <c:pt idx="507">
                  <c:v>3.55</c:v>
                </c:pt>
                <c:pt idx="508">
                  <c:v>3.55</c:v>
                </c:pt>
                <c:pt idx="509">
                  <c:v>3.55</c:v>
                </c:pt>
                <c:pt idx="510">
                  <c:v>3.55</c:v>
                </c:pt>
                <c:pt idx="511">
                  <c:v>3.55</c:v>
                </c:pt>
                <c:pt idx="512">
                  <c:v>3.55</c:v>
                </c:pt>
                <c:pt idx="513">
                  <c:v>3.55</c:v>
                </c:pt>
                <c:pt idx="514">
                  <c:v>3.55</c:v>
                </c:pt>
                <c:pt idx="515">
                  <c:v>3.55</c:v>
                </c:pt>
                <c:pt idx="516">
                  <c:v>3.55</c:v>
                </c:pt>
                <c:pt idx="517">
                  <c:v>3.55</c:v>
                </c:pt>
                <c:pt idx="518">
                  <c:v>3.55</c:v>
                </c:pt>
                <c:pt idx="519">
                  <c:v>3.55</c:v>
                </c:pt>
                <c:pt idx="520">
                  <c:v>3.55</c:v>
                </c:pt>
                <c:pt idx="521">
                  <c:v>3.55</c:v>
                </c:pt>
                <c:pt idx="522">
                  <c:v>3.55</c:v>
                </c:pt>
                <c:pt idx="523">
                  <c:v>3.55</c:v>
                </c:pt>
                <c:pt idx="524">
                  <c:v>3.55</c:v>
                </c:pt>
                <c:pt idx="525">
                  <c:v>3.55</c:v>
                </c:pt>
                <c:pt idx="526">
                  <c:v>3.55</c:v>
                </c:pt>
                <c:pt idx="527">
                  <c:v>3.55</c:v>
                </c:pt>
                <c:pt idx="528">
                  <c:v>3.55</c:v>
                </c:pt>
                <c:pt idx="529">
                  <c:v>3.55</c:v>
                </c:pt>
                <c:pt idx="530">
                  <c:v>3.55</c:v>
                </c:pt>
                <c:pt idx="531">
                  <c:v>3.55</c:v>
                </c:pt>
                <c:pt idx="532">
                  <c:v>3.55</c:v>
                </c:pt>
                <c:pt idx="533">
                  <c:v>3.55</c:v>
                </c:pt>
                <c:pt idx="534">
                  <c:v>3.55</c:v>
                </c:pt>
                <c:pt idx="535">
                  <c:v>3.55</c:v>
                </c:pt>
                <c:pt idx="536">
                  <c:v>3.55</c:v>
                </c:pt>
                <c:pt idx="537">
                  <c:v>3.55</c:v>
                </c:pt>
                <c:pt idx="538">
                  <c:v>3.55</c:v>
                </c:pt>
                <c:pt idx="539">
                  <c:v>3.55</c:v>
                </c:pt>
                <c:pt idx="540">
                  <c:v>3.55</c:v>
                </c:pt>
                <c:pt idx="541">
                  <c:v>3.55</c:v>
                </c:pt>
                <c:pt idx="542">
                  <c:v>3.55</c:v>
                </c:pt>
                <c:pt idx="543">
                  <c:v>3.55</c:v>
                </c:pt>
                <c:pt idx="544">
                  <c:v>3.55</c:v>
                </c:pt>
                <c:pt idx="545">
                  <c:v>3.55</c:v>
                </c:pt>
                <c:pt idx="546">
                  <c:v>3.55</c:v>
                </c:pt>
                <c:pt idx="547">
                  <c:v>3.55</c:v>
                </c:pt>
                <c:pt idx="548">
                  <c:v>3.55</c:v>
                </c:pt>
                <c:pt idx="549">
                  <c:v>3.55</c:v>
                </c:pt>
                <c:pt idx="550">
                  <c:v>3.55</c:v>
                </c:pt>
                <c:pt idx="551">
                  <c:v>3.55</c:v>
                </c:pt>
                <c:pt idx="552">
                  <c:v>3.55</c:v>
                </c:pt>
                <c:pt idx="553">
                  <c:v>3.55</c:v>
                </c:pt>
                <c:pt idx="554">
                  <c:v>3.55</c:v>
                </c:pt>
                <c:pt idx="555">
                  <c:v>3.55</c:v>
                </c:pt>
                <c:pt idx="556">
                  <c:v>3.55</c:v>
                </c:pt>
                <c:pt idx="557">
                  <c:v>3.55</c:v>
                </c:pt>
                <c:pt idx="558">
                  <c:v>3.55</c:v>
                </c:pt>
                <c:pt idx="559">
                  <c:v>3.55</c:v>
                </c:pt>
                <c:pt idx="560">
                  <c:v>3.55</c:v>
                </c:pt>
                <c:pt idx="561">
                  <c:v>3.55</c:v>
                </c:pt>
                <c:pt idx="562">
                  <c:v>3.55</c:v>
                </c:pt>
                <c:pt idx="563">
                  <c:v>3.55</c:v>
                </c:pt>
                <c:pt idx="564">
                  <c:v>3.55</c:v>
                </c:pt>
                <c:pt idx="565">
                  <c:v>3.55</c:v>
                </c:pt>
                <c:pt idx="566">
                  <c:v>3.55</c:v>
                </c:pt>
                <c:pt idx="567">
                  <c:v>3.55</c:v>
                </c:pt>
                <c:pt idx="568">
                  <c:v>3.55</c:v>
                </c:pt>
                <c:pt idx="569">
                  <c:v>3.55</c:v>
                </c:pt>
                <c:pt idx="570">
                  <c:v>3.55</c:v>
                </c:pt>
                <c:pt idx="571">
                  <c:v>3.55</c:v>
                </c:pt>
                <c:pt idx="572">
                  <c:v>3.55</c:v>
                </c:pt>
                <c:pt idx="573">
                  <c:v>3.55</c:v>
                </c:pt>
                <c:pt idx="574">
                  <c:v>3.55</c:v>
                </c:pt>
                <c:pt idx="575">
                  <c:v>3.55</c:v>
                </c:pt>
                <c:pt idx="576">
                  <c:v>3.55</c:v>
                </c:pt>
                <c:pt idx="577">
                  <c:v>3.55</c:v>
                </c:pt>
                <c:pt idx="578">
                  <c:v>3.55</c:v>
                </c:pt>
                <c:pt idx="579">
                  <c:v>3.55</c:v>
                </c:pt>
                <c:pt idx="580">
                  <c:v>3.55</c:v>
                </c:pt>
                <c:pt idx="581">
                  <c:v>3.55</c:v>
                </c:pt>
                <c:pt idx="582">
                  <c:v>3.55</c:v>
                </c:pt>
                <c:pt idx="583">
                  <c:v>3.55</c:v>
                </c:pt>
                <c:pt idx="584">
                  <c:v>3.55</c:v>
                </c:pt>
                <c:pt idx="585">
                  <c:v>3.55</c:v>
                </c:pt>
                <c:pt idx="586">
                  <c:v>3.55</c:v>
                </c:pt>
                <c:pt idx="587">
                  <c:v>3.55</c:v>
                </c:pt>
                <c:pt idx="588">
                  <c:v>3.55</c:v>
                </c:pt>
                <c:pt idx="589">
                  <c:v>3.55</c:v>
                </c:pt>
                <c:pt idx="590">
                  <c:v>3.55</c:v>
                </c:pt>
                <c:pt idx="591">
                  <c:v>3.55</c:v>
                </c:pt>
                <c:pt idx="592">
                  <c:v>3.55</c:v>
                </c:pt>
                <c:pt idx="593">
                  <c:v>3.55</c:v>
                </c:pt>
                <c:pt idx="594">
                  <c:v>3.55</c:v>
                </c:pt>
                <c:pt idx="595">
                  <c:v>3.55</c:v>
                </c:pt>
                <c:pt idx="596">
                  <c:v>3.55</c:v>
                </c:pt>
                <c:pt idx="597">
                  <c:v>3.55</c:v>
                </c:pt>
                <c:pt idx="598">
                  <c:v>3.55</c:v>
                </c:pt>
                <c:pt idx="599">
                  <c:v>3.55</c:v>
                </c:pt>
                <c:pt idx="600">
                  <c:v>3.55</c:v>
                </c:pt>
                <c:pt idx="601">
                  <c:v>3.55</c:v>
                </c:pt>
                <c:pt idx="602">
                  <c:v>3.55</c:v>
                </c:pt>
                <c:pt idx="603">
                  <c:v>3.55</c:v>
                </c:pt>
                <c:pt idx="604">
                  <c:v>3.55</c:v>
                </c:pt>
                <c:pt idx="605">
                  <c:v>3.55</c:v>
                </c:pt>
                <c:pt idx="606">
                  <c:v>3.55</c:v>
                </c:pt>
                <c:pt idx="607">
                  <c:v>3.55</c:v>
                </c:pt>
                <c:pt idx="608">
                  <c:v>3.55</c:v>
                </c:pt>
                <c:pt idx="609">
                  <c:v>3.55</c:v>
                </c:pt>
                <c:pt idx="610">
                  <c:v>3.55</c:v>
                </c:pt>
                <c:pt idx="611">
                  <c:v>3.55</c:v>
                </c:pt>
                <c:pt idx="612">
                  <c:v>3.55</c:v>
                </c:pt>
                <c:pt idx="613">
                  <c:v>3.55</c:v>
                </c:pt>
                <c:pt idx="614">
                  <c:v>3.55</c:v>
                </c:pt>
                <c:pt idx="615">
                  <c:v>3.55</c:v>
                </c:pt>
                <c:pt idx="616">
                  <c:v>3.55</c:v>
                </c:pt>
                <c:pt idx="617">
                  <c:v>3.55</c:v>
                </c:pt>
                <c:pt idx="618">
                  <c:v>3.55</c:v>
                </c:pt>
              </c:numCache>
            </c:numRef>
          </c:xVal>
          <c:yVal>
            <c:numRef>
              <c:f>Current_limit!$P$23:$P$641</c:f>
              <c:numCache>
                <c:formatCode>#,##0.0</c:formatCode>
                <c:ptCount val="619"/>
                <c:pt idx="0">
                  <c:v>2100000</c:v>
                </c:pt>
                <c:pt idx="1">
                  <c:v>2100000</c:v>
                </c:pt>
                <c:pt idx="2">
                  <c:v>2100000</c:v>
                </c:pt>
                <c:pt idx="3">
                  <c:v>2100000</c:v>
                </c:pt>
                <c:pt idx="4">
                  <c:v>2100000</c:v>
                </c:pt>
                <c:pt idx="5">
                  <c:v>2100000</c:v>
                </c:pt>
                <c:pt idx="6">
                  <c:v>2100000</c:v>
                </c:pt>
                <c:pt idx="7">
                  <c:v>2100000</c:v>
                </c:pt>
                <c:pt idx="8">
                  <c:v>2100000</c:v>
                </c:pt>
                <c:pt idx="9">
                  <c:v>2100000</c:v>
                </c:pt>
                <c:pt idx="10">
                  <c:v>2100000</c:v>
                </c:pt>
                <c:pt idx="11">
                  <c:v>2100000</c:v>
                </c:pt>
                <c:pt idx="12">
                  <c:v>2100000</c:v>
                </c:pt>
                <c:pt idx="13">
                  <c:v>2100000</c:v>
                </c:pt>
                <c:pt idx="14">
                  <c:v>2100000</c:v>
                </c:pt>
                <c:pt idx="15">
                  <c:v>2100000</c:v>
                </c:pt>
                <c:pt idx="16">
                  <c:v>2100000</c:v>
                </c:pt>
                <c:pt idx="17">
                  <c:v>2100000</c:v>
                </c:pt>
                <c:pt idx="18">
                  <c:v>2100000</c:v>
                </c:pt>
                <c:pt idx="19">
                  <c:v>2100000</c:v>
                </c:pt>
                <c:pt idx="20">
                  <c:v>2100000</c:v>
                </c:pt>
                <c:pt idx="21">
                  <c:v>2100000</c:v>
                </c:pt>
                <c:pt idx="22">
                  <c:v>2100000</c:v>
                </c:pt>
                <c:pt idx="23">
                  <c:v>2100000</c:v>
                </c:pt>
                <c:pt idx="24">
                  <c:v>2100000</c:v>
                </c:pt>
                <c:pt idx="25">
                  <c:v>2100000</c:v>
                </c:pt>
                <c:pt idx="26">
                  <c:v>2100000</c:v>
                </c:pt>
                <c:pt idx="27">
                  <c:v>2100000</c:v>
                </c:pt>
                <c:pt idx="28">
                  <c:v>2100000</c:v>
                </c:pt>
                <c:pt idx="29">
                  <c:v>2100000</c:v>
                </c:pt>
                <c:pt idx="30">
                  <c:v>2100000</c:v>
                </c:pt>
                <c:pt idx="31">
                  <c:v>2100000</c:v>
                </c:pt>
                <c:pt idx="32">
                  <c:v>2100000</c:v>
                </c:pt>
                <c:pt idx="33">
                  <c:v>2100000</c:v>
                </c:pt>
                <c:pt idx="34">
                  <c:v>2100000</c:v>
                </c:pt>
                <c:pt idx="35">
                  <c:v>2100000</c:v>
                </c:pt>
                <c:pt idx="36">
                  <c:v>2100000</c:v>
                </c:pt>
                <c:pt idx="37">
                  <c:v>2100000</c:v>
                </c:pt>
                <c:pt idx="38">
                  <c:v>2100000</c:v>
                </c:pt>
                <c:pt idx="39">
                  <c:v>2100000</c:v>
                </c:pt>
                <c:pt idx="40">
                  <c:v>2100000</c:v>
                </c:pt>
                <c:pt idx="41">
                  <c:v>2100000</c:v>
                </c:pt>
                <c:pt idx="42">
                  <c:v>2100000</c:v>
                </c:pt>
                <c:pt idx="43">
                  <c:v>2100000</c:v>
                </c:pt>
                <c:pt idx="44">
                  <c:v>2100000</c:v>
                </c:pt>
                <c:pt idx="45">
                  <c:v>2100000</c:v>
                </c:pt>
                <c:pt idx="46">
                  <c:v>2100000</c:v>
                </c:pt>
                <c:pt idx="47">
                  <c:v>2100000</c:v>
                </c:pt>
                <c:pt idx="48">
                  <c:v>2100000</c:v>
                </c:pt>
                <c:pt idx="49">
                  <c:v>2100000</c:v>
                </c:pt>
                <c:pt idx="50">
                  <c:v>2100000</c:v>
                </c:pt>
                <c:pt idx="51">
                  <c:v>2100000</c:v>
                </c:pt>
                <c:pt idx="52">
                  <c:v>2100000</c:v>
                </c:pt>
                <c:pt idx="53">
                  <c:v>2100000</c:v>
                </c:pt>
                <c:pt idx="54">
                  <c:v>2100000</c:v>
                </c:pt>
                <c:pt idx="55">
                  <c:v>2100000</c:v>
                </c:pt>
                <c:pt idx="56">
                  <c:v>2100000</c:v>
                </c:pt>
                <c:pt idx="57">
                  <c:v>2100000</c:v>
                </c:pt>
                <c:pt idx="58">
                  <c:v>2100000</c:v>
                </c:pt>
                <c:pt idx="59">
                  <c:v>2100000</c:v>
                </c:pt>
                <c:pt idx="60">
                  <c:v>2100000</c:v>
                </c:pt>
                <c:pt idx="61">
                  <c:v>2100000</c:v>
                </c:pt>
                <c:pt idx="62">
                  <c:v>2100000</c:v>
                </c:pt>
                <c:pt idx="63">
                  <c:v>2100000</c:v>
                </c:pt>
                <c:pt idx="64">
                  <c:v>2100000</c:v>
                </c:pt>
                <c:pt idx="65">
                  <c:v>2100000</c:v>
                </c:pt>
                <c:pt idx="66">
                  <c:v>2100000</c:v>
                </c:pt>
                <c:pt idx="67">
                  <c:v>2100000</c:v>
                </c:pt>
                <c:pt idx="68">
                  <c:v>2100000</c:v>
                </c:pt>
                <c:pt idx="69">
                  <c:v>2100000</c:v>
                </c:pt>
                <c:pt idx="70">
                  <c:v>2100000</c:v>
                </c:pt>
                <c:pt idx="71">
                  <c:v>2100000</c:v>
                </c:pt>
                <c:pt idx="72">
                  <c:v>2100000</c:v>
                </c:pt>
                <c:pt idx="73">
                  <c:v>2100000</c:v>
                </c:pt>
                <c:pt idx="74">
                  <c:v>2100000</c:v>
                </c:pt>
                <c:pt idx="75">
                  <c:v>2100000</c:v>
                </c:pt>
                <c:pt idx="76">
                  <c:v>2100000</c:v>
                </c:pt>
                <c:pt idx="77">
                  <c:v>2100000</c:v>
                </c:pt>
                <c:pt idx="78">
                  <c:v>2100000</c:v>
                </c:pt>
                <c:pt idx="79">
                  <c:v>2100000</c:v>
                </c:pt>
                <c:pt idx="80">
                  <c:v>2100000</c:v>
                </c:pt>
                <c:pt idx="81">
                  <c:v>2100000</c:v>
                </c:pt>
                <c:pt idx="82">
                  <c:v>2100000</c:v>
                </c:pt>
                <c:pt idx="83">
                  <c:v>2100000</c:v>
                </c:pt>
                <c:pt idx="84">
                  <c:v>2100000</c:v>
                </c:pt>
                <c:pt idx="85">
                  <c:v>2100000</c:v>
                </c:pt>
                <c:pt idx="86">
                  <c:v>2100000</c:v>
                </c:pt>
                <c:pt idx="87">
                  <c:v>2100000</c:v>
                </c:pt>
                <c:pt idx="88">
                  <c:v>2100000</c:v>
                </c:pt>
                <c:pt idx="89">
                  <c:v>2100000</c:v>
                </c:pt>
                <c:pt idx="90">
                  <c:v>2100000</c:v>
                </c:pt>
                <c:pt idx="91">
                  <c:v>2100000</c:v>
                </c:pt>
                <c:pt idx="92">
                  <c:v>2100000</c:v>
                </c:pt>
                <c:pt idx="93">
                  <c:v>2100000</c:v>
                </c:pt>
                <c:pt idx="94">
                  <c:v>2100000</c:v>
                </c:pt>
                <c:pt idx="95">
                  <c:v>2100000</c:v>
                </c:pt>
                <c:pt idx="96">
                  <c:v>2100000</c:v>
                </c:pt>
                <c:pt idx="97">
                  <c:v>2100000</c:v>
                </c:pt>
                <c:pt idx="98">
                  <c:v>2100000</c:v>
                </c:pt>
                <c:pt idx="99">
                  <c:v>2100000</c:v>
                </c:pt>
                <c:pt idx="100">
                  <c:v>2100000</c:v>
                </c:pt>
                <c:pt idx="101">
                  <c:v>2100000</c:v>
                </c:pt>
                <c:pt idx="102">
                  <c:v>2100000</c:v>
                </c:pt>
                <c:pt idx="103">
                  <c:v>2100000</c:v>
                </c:pt>
                <c:pt idx="104">
                  <c:v>2100000</c:v>
                </c:pt>
                <c:pt idx="105">
                  <c:v>2100000</c:v>
                </c:pt>
                <c:pt idx="106">
                  <c:v>2100000</c:v>
                </c:pt>
                <c:pt idx="107">
                  <c:v>2100000</c:v>
                </c:pt>
                <c:pt idx="108">
                  <c:v>2100000</c:v>
                </c:pt>
                <c:pt idx="109">
                  <c:v>2100000</c:v>
                </c:pt>
                <c:pt idx="110">
                  <c:v>2100000</c:v>
                </c:pt>
                <c:pt idx="111">
                  <c:v>2100000</c:v>
                </c:pt>
                <c:pt idx="112">
                  <c:v>2100000</c:v>
                </c:pt>
                <c:pt idx="113">
                  <c:v>2100000</c:v>
                </c:pt>
                <c:pt idx="114">
                  <c:v>2100000</c:v>
                </c:pt>
                <c:pt idx="115">
                  <c:v>2100000</c:v>
                </c:pt>
                <c:pt idx="116">
                  <c:v>2100000</c:v>
                </c:pt>
                <c:pt idx="117">
                  <c:v>2100000</c:v>
                </c:pt>
                <c:pt idx="118">
                  <c:v>2100000</c:v>
                </c:pt>
                <c:pt idx="119">
                  <c:v>2100000</c:v>
                </c:pt>
                <c:pt idx="120">
                  <c:v>2100000</c:v>
                </c:pt>
                <c:pt idx="121">
                  <c:v>2100000</c:v>
                </c:pt>
                <c:pt idx="122">
                  <c:v>2100000</c:v>
                </c:pt>
                <c:pt idx="123">
                  <c:v>2100000</c:v>
                </c:pt>
                <c:pt idx="124">
                  <c:v>2100000</c:v>
                </c:pt>
                <c:pt idx="125">
                  <c:v>2100000</c:v>
                </c:pt>
                <c:pt idx="126">
                  <c:v>2100000</c:v>
                </c:pt>
                <c:pt idx="127">
                  <c:v>2100000</c:v>
                </c:pt>
                <c:pt idx="128">
                  <c:v>2100000</c:v>
                </c:pt>
                <c:pt idx="129">
                  <c:v>2100000</c:v>
                </c:pt>
                <c:pt idx="130">
                  <c:v>2100000</c:v>
                </c:pt>
                <c:pt idx="131">
                  <c:v>2100000</c:v>
                </c:pt>
                <c:pt idx="132">
                  <c:v>2100000</c:v>
                </c:pt>
                <c:pt idx="133">
                  <c:v>2100000</c:v>
                </c:pt>
                <c:pt idx="134">
                  <c:v>2100000</c:v>
                </c:pt>
                <c:pt idx="135">
                  <c:v>2100000</c:v>
                </c:pt>
                <c:pt idx="136">
                  <c:v>2100000</c:v>
                </c:pt>
                <c:pt idx="137">
                  <c:v>2100000</c:v>
                </c:pt>
                <c:pt idx="138">
                  <c:v>2100000</c:v>
                </c:pt>
                <c:pt idx="139">
                  <c:v>2100000</c:v>
                </c:pt>
                <c:pt idx="140">
                  <c:v>2100000</c:v>
                </c:pt>
                <c:pt idx="141">
                  <c:v>2100000</c:v>
                </c:pt>
                <c:pt idx="142">
                  <c:v>2100000</c:v>
                </c:pt>
                <c:pt idx="143">
                  <c:v>2100000</c:v>
                </c:pt>
                <c:pt idx="144">
                  <c:v>2100000</c:v>
                </c:pt>
                <c:pt idx="145">
                  <c:v>2100000</c:v>
                </c:pt>
                <c:pt idx="146">
                  <c:v>2100000</c:v>
                </c:pt>
                <c:pt idx="147">
                  <c:v>2100000</c:v>
                </c:pt>
                <c:pt idx="148">
                  <c:v>2100000</c:v>
                </c:pt>
                <c:pt idx="149">
                  <c:v>2100000</c:v>
                </c:pt>
                <c:pt idx="150">
                  <c:v>2100000</c:v>
                </c:pt>
                <c:pt idx="151">
                  <c:v>2100000</c:v>
                </c:pt>
                <c:pt idx="152">
                  <c:v>2100000</c:v>
                </c:pt>
                <c:pt idx="153">
                  <c:v>2100000</c:v>
                </c:pt>
                <c:pt idx="154">
                  <c:v>2100000</c:v>
                </c:pt>
                <c:pt idx="155">
                  <c:v>2100000</c:v>
                </c:pt>
                <c:pt idx="156">
                  <c:v>2100000</c:v>
                </c:pt>
                <c:pt idx="157">
                  <c:v>2100000</c:v>
                </c:pt>
                <c:pt idx="158">
                  <c:v>2100000</c:v>
                </c:pt>
                <c:pt idx="159">
                  <c:v>2100000</c:v>
                </c:pt>
                <c:pt idx="160">
                  <c:v>2100000</c:v>
                </c:pt>
                <c:pt idx="161">
                  <c:v>2100000</c:v>
                </c:pt>
                <c:pt idx="162">
                  <c:v>2100000</c:v>
                </c:pt>
                <c:pt idx="163">
                  <c:v>2100000</c:v>
                </c:pt>
                <c:pt idx="164">
                  <c:v>2100000</c:v>
                </c:pt>
                <c:pt idx="165">
                  <c:v>2100000</c:v>
                </c:pt>
                <c:pt idx="166">
                  <c:v>2100000</c:v>
                </c:pt>
                <c:pt idx="167">
                  <c:v>2100000</c:v>
                </c:pt>
                <c:pt idx="168">
                  <c:v>2100000</c:v>
                </c:pt>
                <c:pt idx="169">
                  <c:v>2100000</c:v>
                </c:pt>
                <c:pt idx="170">
                  <c:v>2100000</c:v>
                </c:pt>
                <c:pt idx="171">
                  <c:v>2100000</c:v>
                </c:pt>
                <c:pt idx="172">
                  <c:v>2100000</c:v>
                </c:pt>
                <c:pt idx="173">
                  <c:v>2100000</c:v>
                </c:pt>
                <c:pt idx="174">
                  <c:v>2100000</c:v>
                </c:pt>
                <c:pt idx="175">
                  <c:v>2100000</c:v>
                </c:pt>
                <c:pt idx="176">
                  <c:v>2100000</c:v>
                </c:pt>
                <c:pt idx="177">
                  <c:v>2100000</c:v>
                </c:pt>
                <c:pt idx="178">
                  <c:v>2100000</c:v>
                </c:pt>
                <c:pt idx="179">
                  <c:v>2100000</c:v>
                </c:pt>
                <c:pt idx="180">
                  <c:v>2100000</c:v>
                </c:pt>
                <c:pt idx="181">
                  <c:v>2100000</c:v>
                </c:pt>
                <c:pt idx="182">
                  <c:v>2100000</c:v>
                </c:pt>
                <c:pt idx="183">
                  <c:v>2100000</c:v>
                </c:pt>
                <c:pt idx="184">
                  <c:v>2100000</c:v>
                </c:pt>
                <c:pt idx="185">
                  <c:v>2100000</c:v>
                </c:pt>
                <c:pt idx="186">
                  <c:v>2100000</c:v>
                </c:pt>
                <c:pt idx="187">
                  <c:v>2100000</c:v>
                </c:pt>
                <c:pt idx="188">
                  <c:v>2100000</c:v>
                </c:pt>
                <c:pt idx="189">
                  <c:v>2100000</c:v>
                </c:pt>
                <c:pt idx="190">
                  <c:v>2100000</c:v>
                </c:pt>
                <c:pt idx="191">
                  <c:v>2100000</c:v>
                </c:pt>
                <c:pt idx="192">
                  <c:v>2100000</c:v>
                </c:pt>
                <c:pt idx="193">
                  <c:v>2100000</c:v>
                </c:pt>
                <c:pt idx="194">
                  <c:v>2100000</c:v>
                </c:pt>
                <c:pt idx="195">
                  <c:v>2100000</c:v>
                </c:pt>
                <c:pt idx="196">
                  <c:v>2100000</c:v>
                </c:pt>
                <c:pt idx="197">
                  <c:v>2100000</c:v>
                </c:pt>
                <c:pt idx="198">
                  <c:v>2100000</c:v>
                </c:pt>
                <c:pt idx="199">
                  <c:v>2100000</c:v>
                </c:pt>
                <c:pt idx="200">
                  <c:v>2100000</c:v>
                </c:pt>
                <c:pt idx="201">
                  <c:v>2100000</c:v>
                </c:pt>
                <c:pt idx="202">
                  <c:v>2100000</c:v>
                </c:pt>
                <c:pt idx="203">
                  <c:v>2100000</c:v>
                </c:pt>
                <c:pt idx="204">
                  <c:v>2100000</c:v>
                </c:pt>
                <c:pt idx="205">
                  <c:v>2100000</c:v>
                </c:pt>
                <c:pt idx="206">
                  <c:v>2100000</c:v>
                </c:pt>
                <c:pt idx="207">
                  <c:v>2100000</c:v>
                </c:pt>
                <c:pt idx="208">
                  <c:v>2100000</c:v>
                </c:pt>
                <c:pt idx="209">
                  <c:v>2100000</c:v>
                </c:pt>
                <c:pt idx="210">
                  <c:v>2100000</c:v>
                </c:pt>
                <c:pt idx="211">
                  <c:v>2100000</c:v>
                </c:pt>
                <c:pt idx="212">
                  <c:v>2100000</c:v>
                </c:pt>
                <c:pt idx="213">
                  <c:v>2100000</c:v>
                </c:pt>
                <c:pt idx="214">
                  <c:v>2100000</c:v>
                </c:pt>
                <c:pt idx="215">
                  <c:v>2100000</c:v>
                </c:pt>
                <c:pt idx="216">
                  <c:v>2100000</c:v>
                </c:pt>
                <c:pt idx="217">
                  <c:v>2100000</c:v>
                </c:pt>
                <c:pt idx="218">
                  <c:v>2100000</c:v>
                </c:pt>
                <c:pt idx="219">
                  <c:v>2100000</c:v>
                </c:pt>
                <c:pt idx="220">
                  <c:v>2100000</c:v>
                </c:pt>
                <c:pt idx="221">
                  <c:v>2100000</c:v>
                </c:pt>
                <c:pt idx="222">
                  <c:v>2100000</c:v>
                </c:pt>
                <c:pt idx="223">
                  <c:v>2100000</c:v>
                </c:pt>
                <c:pt idx="224">
                  <c:v>2100000</c:v>
                </c:pt>
                <c:pt idx="225">
                  <c:v>2100000</c:v>
                </c:pt>
                <c:pt idx="226">
                  <c:v>2100000</c:v>
                </c:pt>
                <c:pt idx="227">
                  <c:v>2100000</c:v>
                </c:pt>
                <c:pt idx="228">
                  <c:v>2100000</c:v>
                </c:pt>
                <c:pt idx="229">
                  <c:v>2100000</c:v>
                </c:pt>
                <c:pt idx="230">
                  <c:v>2100000</c:v>
                </c:pt>
                <c:pt idx="231">
                  <c:v>2100000</c:v>
                </c:pt>
                <c:pt idx="232">
                  <c:v>2100000</c:v>
                </c:pt>
                <c:pt idx="233">
                  <c:v>2100000</c:v>
                </c:pt>
                <c:pt idx="234">
                  <c:v>2100000</c:v>
                </c:pt>
                <c:pt idx="235">
                  <c:v>2100000</c:v>
                </c:pt>
                <c:pt idx="236">
                  <c:v>2100000</c:v>
                </c:pt>
                <c:pt idx="237">
                  <c:v>2100000</c:v>
                </c:pt>
                <c:pt idx="238">
                  <c:v>2100000</c:v>
                </c:pt>
                <c:pt idx="239">
                  <c:v>2100000</c:v>
                </c:pt>
                <c:pt idx="240">
                  <c:v>2100000</c:v>
                </c:pt>
                <c:pt idx="241">
                  <c:v>2100000</c:v>
                </c:pt>
                <c:pt idx="242">
                  <c:v>2100000</c:v>
                </c:pt>
                <c:pt idx="243">
                  <c:v>2100000</c:v>
                </c:pt>
                <c:pt idx="244">
                  <c:v>2100000</c:v>
                </c:pt>
                <c:pt idx="245">
                  <c:v>2100000</c:v>
                </c:pt>
                <c:pt idx="246">
                  <c:v>2100000</c:v>
                </c:pt>
                <c:pt idx="247">
                  <c:v>2100000</c:v>
                </c:pt>
                <c:pt idx="248">
                  <c:v>2100000</c:v>
                </c:pt>
                <c:pt idx="249">
                  <c:v>2100000</c:v>
                </c:pt>
                <c:pt idx="250">
                  <c:v>2100000</c:v>
                </c:pt>
                <c:pt idx="251">
                  <c:v>2100000</c:v>
                </c:pt>
                <c:pt idx="252">
                  <c:v>2100000</c:v>
                </c:pt>
                <c:pt idx="253">
                  <c:v>2100000</c:v>
                </c:pt>
                <c:pt idx="254">
                  <c:v>2100000</c:v>
                </c:pt>
                <c:pt idx="255">
                  <c:v>2100000</c:v>
                </c:pt>
                <c:pt idx="256">
                  <c:v>2100000</c:v>
                </c:pt>
                <c:pt idx="257">
                  <c:v>2100000</c:v>
                </c:pt>
                <c:pt idx="258">
                  <c:v>2100000</c:v>
                </c:pt>
                <c:pt idx="259">
                  <c:v>2100000</c:v>
                </c:pt>
                <c:pt idx="260">
                  <c:v>2008723.5996329605</c:v>
                </c:pt>
                <c:pt idx="261">
                  <c:v>1921387.7909532571</c:v>
                </c:pt>
                <c:pt idx="262">
                  <c:v>1841329.9663301965</c:v>
                </c:pt>
                <c:pt idx="263">
                  <c:v>1767676.7676769812</c:v>
                </c:pt>
                <c:pt idx="264">
                  <c:v>1699689.1996893985</c:v>
                </c:pt>
                <c:pt idx="265">
                  <c:v>1636737.7478490446</c:v>
                </c:pt>
                <c:pt idx="266">
                  <c:v>1578282.8282830021</c:v>
                </c:pt>
                <c:pt idx="267">
                  <c:v>1523859.2824801353</c:v>
                </c:pt>
                <c:pt idx="268">
                  <c:v>1473063.9730641264</c:v>
                </c:pt>
                <c:pt idx="269">
                  <c:v>1425545.7803846349</c:v>
                </c:pt>
                <c:pt idx="270">
                  <c:v>1380997.4747476114</c:v>
                </c:pt>
                <c:pt idx="271">
                  <c:v>1339149.0664219232</c:v>
                </c:pt>
                <c:pt idx="272">
                  <c:v>1299762.3291742166</c:v>
                </c:pt>
                <c:pt idx="273">
                  <c:v>1262626.2626263793</c:v>
                </c:pt>
                <c:pt idx="274">
                  <c:v>1261605.8027385548</c:v>
                </c:pt>
                <c:pt idx="275">
                  <c:v>1260576.9467337662</c:v>
                </c:pt>
                <c:pt idx="276">
                  <c:v>1259539.8829052625</c:v>
                </c:pt>
                <c:pt idx="277">
                  <c:v>1258494.7961380524</c:v>
                </c:pt>
                <c:pt idx="278">
                  <c:v>1257441.8679742794</c:v>
                </c:pt>
                <c:pt idx="279">
                  <c:v>1256381.2766773188</c:v>
                </c:pt>
                <c:pt idx="280">
                  <c:v>1255313.1972945207</c:v>
                </c:pt>
                <c:pt idx="281">
                  <c:v>1254237.8017186245</c:v>
                </c:pt>
                <c:pt idx="282">
                  <c:v>1253155.2587478845</c:v>
                </c:pt>
                <c:pt idx="283">
                  <c:v>1252065.7341449279</c:v>
                </c:pt>
                <c:pt idx="284">
                  <c:v>1250969.3906943793</c:v>
                </c:pt>
                <c:pt idx="285">
                  <c:v>1249866.3882592828</c:v>
                </c:pt>
                <c:pt idx="286">
                  <c:v>1248756.8838363425</c:v>
                </c:pt>
                <c:pt idx="287">
                  <c:v>1247641.0316100139</c:v>
                </c:pt>
                <c:pt idx="288">
                  <c:v>1246518.9830054739</c:v>
                </c:pt>
                <c:pt idx="289">
                  <c:v>1245390.8867404889</c:v>
                </c:pt>
                <c:pt idx="290">
                  <c:v>1244256.8888762137</c:v>
                </c:pt>
                <c:pt idx="291">
                  <c:v>1243117.1328669379</c:v>
                </c:pt>
                <c:pt idx="292">
                  <c:v>1241971.759608814</c:v>
                </c:pt>
                <c:pt idx="293">
                  <c:v>1240820.9074875789</c:v>
                </c:pt>
                <c:pt idx="294">
                  <c:v>1239664.7124252988</c:v>
                </c:pt>
                <c:pt idx="295">
                  <c:v>1238503.307926161</c:v>
                </c:pt>
                <c:pt idx="296">
                  <c:v>1237336.8251213264</c:v>
                </c:pt>
                <c:pt idx="297">
                  <c:v>1236165.392812873</c:v>
                </c:pt>
                <c:pt idx="298">
                  <c:v>1234989.1375168432</c:v>
                </c:pt>
                <c:pt idx="299">
                  <c:v>1233808.183505421</c:v>
                </c:pt>
                <c:pt idx="300">
                  <c:v>1232622.6528482549</c:v>
                </c:pt>
                <c:pt idx="301">
                  <c:v>1231432.6654529448</c:v>
                </c:pt>
                <c:pt idx="302">
                  <c:v>1230238.3391047178</c:v>
                </c:pt>
                <c:pt idx="303">
                  <c:v>1229039.7895053031</c:v>
                </c:pt>
                <c:pt idx="304">
                  <c:v>1227837.1303110274</c:v>
                </c:pt>
                <c:pt idx="305">
                  <c:v>1226630.4731701494</c:v>
                </c:pt>
                <c:pt idx="306">
                  <c:v>1225419.9277594483</c:v>
                </c:pt>
                <c:pt idx="307">
                  <c:v>1224205.6018200822</c:v>
                </c:pt>
                <c:pt idx="308">
                  <c:v>1222987.6011927347</c:v>
                </c:pt>
                <c:pt idx="309">
                  <c:v>1221766.0298520629</c:v>
                </c:pt>
                <c:pt idx="310">
                  <c:v>1220540.9899404643</c:v>
                </c:pt>
                <c:pt idx="311">
                  <c:v>1219312.5818011756</c:v>
                </c:pt>
                <c:pt idx="312">
                  <c:v>1218080.9040107196</c:v>
                </c:pt>
                <c:pt idx="313">
                  <c:v>1216846.0534107119</c:v>
                </c:pt>
                <c:pt idx="314">
                  <c:v>1215608.1251390458</c:v>
                </c:pt>
                <c:pt idx="315">
                  <c:v>1214367.2126604628</c:v>
                </c:pt>
                <c:pt idx="316">
                  <c:v>1213123.4077965277</c:v>
                </c:pt>
                <c:pt idx="317">
                  <c:v>1211876.800755017</c:v>
                </c:pt>
                <c:pt idx="318">
                  <c:v>1210627.4801587358</c:v>
                </c:pt>
                <c:pt idx="319">
                  <c:v>1209375.5330737748</c:v>
                </c:pt>
                <c:pt idx="320">
                  <c:v>1208121.0450372163</c:v>
                </c:pt>
                <c:pt idx="321">
                  <c:v>1206864.100084309</c:v>
                </c:pt>
                <c:pt idx="322">
                  <c:v>1205604.780775113</c:v>
                </c:pt>
                <c:pt idx="323">
                  <c:v>1204343.1682206318</c:v>
                </c:pt>
                <c:pt idx="324">
                  <c:v>1203079.3421084436</c:v>
                </c:pt>
                <c:pt idx="325">
                  <c:v>1201813.3807278383</c:v>
                </c:pt>
                <c:pt idx="326">
                  <c:v>1200545.3609944731</c:v>
                </c:pt>
                <c:pt idx="327">
                  <c:v>1199275.3584745561</c:v>
                </c:pt>
                <c:pt idx="328">
                  <c:v>1198003.4474085695</c:v>
                </c:pt>
                <c:pt idx="329">
                  <c:v>1196729.7007345373</c:v>
                </c:pt>
                <c:pt idx="330">
                  <c:v>1195454.1901108557</c:v>
                </c:pt>
                <c:pt idx="331">
                  <c:v>1194176.9859386839</c:v>
                </c:pt>
                <c:pt idx="332">
                  <c:v>1192898.1573839157</c:v>
                </c:pt>
                <c:pt idx="333">
                  <c:v>1191617.7723987338</c:v>
                </c:pt>
                <c:pt idx="334">
                  <c:v>1190335.897742755</c:v>
                </c:pt>
                <c:pt idx="335">
                  <c:v>1189052.5990037811</c:v>
                </c:pt>
                <c:pt idx="336">
                  <c:v>1187767.9406181565</c:v>
                </c:pt>
                <c:pt idx="337">
                  <c:v>1186481.9858907447</c:v>
                </c:pt>
                <c:pt idx="338">
                  <c:v>1185194.7970145312</c:v>
                </c:pt>
                <c:pt idx="339">
                  <c:v>1183906.4350898582</c:v>
                </c:pt>
                <c:pt idx="340">
                  <c:v>1182616.9601433023</c:v>
                </c:pt>
                <c:pt idx="341">
                  <c:v>1181326.4311461984</c:v>
                </c:pt>
                <c:pt idx="342">
                  <c:v>1180034.9060328209</c:v>
                </c:pt>
                <c:pt idx="343">
                  <c:v>1178742.441718227</c:v>
                </c:pt>
                <c:pt idx="344">
                  <c:v>1177449.0941157674</c:v>
                </c:pt>
                <c:pt idx="345">
                  <c:v>1176154.9181542774</c:v>
                </c:pt>
                <c:pt idx="346">
                  <c:v>1174859.9677949471</c:v>
                </c:pt>
                <c:pt idx="347">
                  <c:v>1173564.2960478796</c:v>
                </c:pt>
                <c:pt idx="348">
                  <c:v>1172267.9549883511</c:v>
                </c:pt>
                <c:pt idx="349">
                  <c:v>1170970.9957727641</c:v>
                </c:pt>
                <c:pt idx="350">
                  <c:v>1169673.4686543138</c:v>
                </c:pt>
                <c:pt idx="351">
                  <c:v>1168375.4229983676</c:v>
                </c:pt>
                <c:pt idx="352">
                  <c:v>1167076.9072975602</c:v>
                </c:pt>
                <c:pt idx="353">
                  <c:v>1165777.9691866166</c:v>
                </c:pt>
                <c:pt idx="354">
                  <c:v>1164478.6554569048</c:v>
                </c:pt>
                <c:pt idx="355">
                  <c:v>1163179.0120707238</c:v>
                </c:pt>
                <c:pt idx="356">
                  <c:v>1161879.0841753318</c:v>
                </c:pt>
                <c:pt idx="357">
                  <c:v>1160578.916116721</c:v>
                </c:pt>
                <c:pt idx="358">
                  <c:v>1159278.5514531452</c:v>
                </c:pt>
                <c:pt idx="359">
                  <c:v>1157978.0329683989</c:v>
                </c:pt>
                <c:pt idx="360">
                  <c:v>1156677.4026848625</c:v>
                </c:pt>
                <c:pt idx="361">
                  <c:v>1155376.701876309</c:v>
                </c:pt>
                <c:pt idx="362">
                  <c:v>1154075.9710804827</c:v>
                </c:pt>
                <c:pt idx="363">
                  <c:v>1152775.2501114521</c:v>
                </c:pt>
                <c:pt idx="364">
                  <c:v>1151474.5780717419</c:v>
                </c:pt>
                <c:pt idx="365">
                  <c:v>1150173.9933642475</c:v>
                </c:pt>
                <c:pt idx="366">
                  <c:v>1148873.5337039379</c:v>
                </c:pt>
                <c:pt idx="367">
                  <c:v>1147573.2361293517</c:v>
                </c:pt>
                <c:pt idx="368">
                  <c:v>1146273.1370138852</c:v>
                </c:pt>
                <c:pt idx="369">
                  <c:v>1144973.2720768824</c:v>
                </c:pt>
                <c:pt idx="370">
                  <c:v>1143673.676394531</c:v>
                </c:pt>
                <c:pt idx="371">
                  <c:v>1142374.3844105599</c:v>
                </c:pt>
                <c:pt idx="372">
                  <c:v>1141075.4299467525</c:v>
                </c:pt>
                <c:pt idx="373">
                  <c:v>1139776.8462132742</c:v>
                </c:pt>
                <c:pt idx="374">
                  <c:v>1138478.6658188163</c:v>
                </c:pt>
                <c:pt idx="375">
                  <c:v>1137180.9207805623</c:v>
                </c:pt>
                <c:pt idx="376">
                  <c:v>1135883.6425339808</c:v>
                </c:pt>
                <c:pt idx="377">
                  <c:v>1134586.8619424449</c:v>
                </c:pt>
                <c:pt idx="378">
                  <c:v>1133290.6093066847</c:v>
                </c:pt>
                <c:pt idx="379">
                  <c:v>1131994.9143740751</c:v>
                </c:pt>
                <c:pt idx="380">
                  <c:v>1130699.8063477587</c:v>
                </c:pt>
                <c:pt idx="381">
                  <c:v>1129405.3138956162</c:v>
                </c:pt>
                <c:pt idx="382">
                  <c:v>1128111.4651590723</c:v>
                </c:pt>
                <c:pt idx="383">
                  <c:v>1126818.2877617572</c:v>
                </c:pt>
                <c:pt idx="384">
                  <c:v>1125525.808818012</c:v>
                </c:pt>
                <c:pt idx="385">
                  <c:v>1124234.0549412509</c:v>
                </c:pt>
                <c:pt idx="386">
                  <c:v>1122943.0522521767</c:v>
                </c:pt>
                <c:pt idx="387">
                  <c:v>1121652.826386855</c:v>
                </c:pt>
                <c:pt idx="388">
                  <c:v>1120363.4025046506</c:v>
                </c:pt>
                <c:pt idx="389">
                  <c:v>1119074.8052960255</c:v>
                </c:pt>
                <c:pt idx="390">
                  <c:v>1117787.0589902052</c:v>
                </c:pt>
                <c:pt idx="391">
                  <c:v>1116500.1873627119</c:v>
                </c:pt>
                <c:pt idx="392">
                  <c:v>1115214.2137427693</c:v>
                </c:pt>
                <c:pt idx="393">
                  <c:v>1113929.1610205816</c:v>
                </c:pt>
                <c:pt idx="394">
                  <c:v>1112645.0516544869</c:v>
                </c:pt>
                <c:pt idx="395">
                  <c:v>1111361.9076779895</c:v>
                </c:pt>
                <c:pt idx="396">
                  <c:v>1110079.7507066734</c:v>
                </c:pt>
                <c:pt idx="397">
                  <c:v>1108798.601944996</c:v>
                </c:pt>
                <c:pt idx="398">
                  <c:v>1107518.4821929692</c:v>
                </c:pt>
                <c:pt idx="399">
                  <c:v>1106239.4118527255</c:v>
                </c:pt>
                <c:pt idx="400">
                  <c:v>1104961.410934973</c:v>
                </c:pt>
                <c:pt idx="401">
                  <c:v>1103684.4990653438</c:v>
                </c:pt>
                <c:pt idx="402">
                  <c:v>1102408.695490631</c:v>
                </c:pt>
                <c:pt idx="403">
                  <c:v>1101134.0190849251</c:v>
                </c:pt>
                <c:pt idx="404">
                  <c:v>1099860.4883556443</c:v>
                </c:pt>
                <c:pt idx="405">
                  <c:v>1098588.1214494647</c:v>
                </c:pt>
                <c:pt idx="406">
                  <c:v>1097316.9361581497</c:v>
                </c:pt>
                <c:pt idx="407">
                  <c:v>1096046.9499242839</c:v>
                </c:pt>
                <c:pt idx="408">
                  <c:v>1094778.1798469094</c:v>
                </c:pt>
                <c:pt idx="409">
                  <c:v>1093510.6426870688</c:v>
                </c:pt>
                <c:pt idx="410">
                  <c:v>1092244.3548732547</c:v>
                </c:pt>
                <c:pt idx="411">
                  <c:v>1090979.3325067693</c:v>
                </c:pt>
                <c:pt idx="412">
                  <c:v>1089715.5913669954</c:v>
                </c:pt>
                <c:pt idx="413">
                  <c:v>1088453.1469165774</c:v>
                </c:pt>
                <c:pt idx="414">
                  <c:v>1087192.0143065192</c:v>
                </c:pt>
                <c:pt idx="415">
                  <c:v>1085932.2083811963</c:v>
                </c:pt>
                <c:pt idx="416">
                  <c:v>1084673.7436832839</c:v>
                </c:pt>
                <c:pt idx="417">
                  <c:v>1083416.6344586064</c:v>
                </c:pt>
                <c:pt idx="418">
                  <c:v>1082160.8946609029</c:v>
                </c:pt>
                <c:pt idx="419">
                  <c:v>1080906.5379565181</c:v>
                </c:pt>
                <c:pt idx="420">
                  <c:v>1079653.5777290133</c:v>
                </c:pt>
                <c:pt idx="421">
                  <c:v>1078402.0270837029</c:v>
                </c:pt>
                <c:pt idx="422">
                  <c:v>1077151.898852115</c:v>
                </c:pt>
                <c:pt idx="423">
                  <c:v>1075903.2055963813</c:v>
                </c:pt>
                <c:pt idx="424">
                  <c:v>1074655.9596135521</c:v>
                </c:pt>
                <c:pt idx="425">
                  <c:v>1073410.172939843</c:v>
                </c:pt>
                <c:pt idx="426">
                  <c:v>1072165.8573548114</c:v>
                </c:pt>
                <c:pt idx="427">
                  <c:v>1070923.0243854637</c:v>
                </c:pt>
                <c:pt idx="428">
                  <c:v>1069681.6853102981</c:v>
                </c:pt>
                <c:pt idx="429">
                  <c:v>1068441.8511632802</c:v>
                </c:pt>
                <c:pt idx="430">
                  <c:v>1067203.5327377515</c:v>
                </c:pt>
                <c:pt idx="431">
                  <c:v>1065966.7405902799</c:v>
                </c:pt>
                <c:pt idx="432">
                  <c:v>1064731.485044443</c:v>
                </c:pt>
                <c:pt idx="433">
                  <c:v>1063497.7761945517</c:v>
                </c:pt>
                <c:pt idx="434">
                  <c:v>1062265.6239093139</c:v>
                </c:pt>
                <c:pt idx="435">
                  <c:v>1061035.0378354385</c:v>
                </c:pt>
                <c:pt idx="436">
                  <c:v>1059806.0274011821</c:v>
                </c:pt>
                <c:pt idx="437">
                  <c:v>1058578.601819837</c:v>
                </c:pt>
                <c:pt idx="438">
                  <c:v>1057352.7700931635</c:v>
                </c:pt>
                <c:pt idx="439">
                  <c:v>1056128.5410147682</c:v>
                </c:pt>
                <c:pt idx="440">
                  <c:v>1054905.9231734264</c:v>
                </c:pt>
                <c:pt idx="441">
                  <c:v>1053684.9249563527</c:v>
                </c:pt>
                <c:pt idx="442">
                  <c:v>1052465.5545524172</c:v>
                </c:pt>
                <c:pt idx="443">
                  <c:v>1051247.8199553115</c:v>
                </c:pt>
                <c:pt idx="444">
                  <c:v>1050031.7289666652</c:v>
                </c:pt>
                <c:pt idx="445">
                  <c:v>1048817.289199109</c:v>
                </c:pt>
                <c:pt idx="446">
                  <c:v>1047604.5080792928</c:v>
                </c:pt>
                <c:pt idx="447">
                  <c:v>1046393.3928508543</c:v>
                </c:pt>
                <c:pt idx="448">
                  <c:v>1045183.9505773376</c:v>
                </c:pt>
                <c:pt idx="449">
                  <c:v>1043976.1881450715</c:v>
                </c:pt>
                <c:pt idx="450">
                  <c:v>1042770.1122659941</c:v>
                </c:pt>
                <c:pt idx="451">
                  <c:v>1041565.7294804411</c:v>
                </c:pt>
                <c:pt idx="452">
                  <c:v>1040363.0461598819</c:v>
                </c:pt>
                <c:pt idx="453">
                  <c:v>1039162.0685096188</c:v>
                </c:pt>
                <c:pt idx="454">
                  <c:v>1037962.8025714381</c:v>
                </c:pt>
                <c:pt idx="455">
                  <c:v>1036765.2542262247</c:v>
                </c:pt>
                <c:pt idx="456">
                  <c:v>1035569.4291965299</c:v>
                </c:pt>
                <c:pt idx="457">
                  <c:v>1034375.333049104</c:v>
                </c:pt>
                <c:pt idx="458">
                  <c:v>1033182.9711973835</c:v>
                </c:pt>
                <c:pt idx="459">
                  <c:v>1031992.3489039441</c:v>
                </c:pt>
                <c:pt idx="460">
                  <c:v>1030803.4712829127</c:v>
                </c:pt>
                <c:pt idx="461">
                  <c:v>1029616.3433023408</c:v>
                </c:pt>
                <c:pt idx="462">
                  <c:v>1028430.9697865421</c:v>
                </c:pt>
                <c:pt idx="463">
                  <c:v>1027247.3554183937</c:v>
                </c:pt>
                <c:pt idx="464">
                  <c:v>1026065.5047415996</c:v>
                </c:pt>
                <c:pt idx="465">
                  <c:v>1024885.4221629194</c:v>
                </c:pt>
                <c:pt idx="466">
                  <c:v>1023707.1119543638</c:v>
                </c:pt>
                <c:pt idx="467">
                  <c:v>1022530.5782553524</c:v>
                </c:pt>
                <c:pt idx="468">
                  <c:v>1021355.8250748425</c:v>
                </c:pt>
                <c:pt idx="469">
                  <c:v>1020182.8562934184</c:v>
                </c:pt>
                <c:pt idx="470">
                  <c:v>1019011.6756653552</c:v>
                </c:pt>
                <c:pt idx="471">
                  <c:v>1017842.2868206451</c:v>
                </c:pt>
                <c:pt idx="472">
                  <c:v>1016674.6932669948</c:v>
                </c:pt>
                <c:pt idx="473">
                  <c:v>1015508.8983917903</c:v>
                </c:pt>
                <c:pt idx="474">
                  <c:v>1014344.9054640337</c:v>
                </c:pt>
                <c:pt idx="475">
                  <c:v>1013182.7176362464</c:v>
                </c:pt>
                <c:pt idx="476">
                  <c:v>1012022.3379463461</c:v>
                </c:pt>
                <c:pt idx="477">
                  <c:v>1010863.7693194926</c:v>
                </c:pt>
                <c:pt idx="478">
                  <c:v>1009707.0145699064</c:v>
                </c:pt>
                <c:pt idx="479">
                  <c:v>1008552.076402658</c:v>
                </c:pt>
                <c:pt idx="480">
                  <c:v>1007398.9574154302</c:v>
                </c:pt>
                <c:pt idx="481">
                  <c:v>1006247.6601002543</c:v>
                </c:pt>
                <c:pt idx="482">
                  <c:v>1005098.1868452159</c:v>
                </c:pt>
                <c:pt idx="483">
                  <c:v>1003950.5399361392</c:v>
                </c:pt>
                <c:pt idx="484">
                  <c:v>1002804.7215582423</c:v>
                </c:pt>
                <c:pt idx="485">
                  <c:v>1001660.7337977679</c:v>
                </c:pt>
                <c:pt idx="486">
                  <c:v>1000518.5786435879</c:v>
                </c:pt>
                <c:pt idx="487">
                  <c:v>999378.25798878539</c:v>
                </c:pt>
                <c:pt idx="488">
                  <c:v>998239.77363221149</c:v>
                </c:pt>
                <c:pt idx="489">
                  <c:v>997103.12728001608</c:v>
                </c:pt>
                <c:pt idx="490">
                  <c:v>995968.32054715999</c:v>
                </c:pt>
                <c:pt idx="491">
                  <c:v>994835.35495889874</c:v>
                </c:pt>
                <c:pt idx="492">
                  <c:v>993704.23195224698</c:v>
                </c:pt>
                <c:pt idx="493">
                  <c:v>992574.95287741965</c:v>
                </c:pt>
                <c:pt idx="494">
                  <c:v>991447.51899925002</c:v>
                </c:pt>
                <c:pt idx="495">
                  <c:v>990321.93149858795</c:v>
                </c:pt>
                <c:pt idx="496">
                  <c:v>989198.19147367647</c:v>
                </c:pt>
                <c:pt idx="497">
                  <c:v>988076.29994150484</c:v>
                </c:pt>
                <c:pt idx="498">
                  <c:v>986956.25783914467</c:v>
                </c:pt>
                <c:pt idx="499">
                  <c:v>985838.06602506386</c:v>
                </c:pt>
                <c:pt idx="500">
                  <c:v>984721.72528041957</c:v>
                </c:pt>
                <c:pt idx="501">
                  <c:v>983607.23631033406</c:v>
                </c:pt>
                <c:pt idx="502">
                  <c:v>982494.59974514868</c:v>
                </c:pt>
                <c:pt idx="503">
                  <c:v>981383.81614166021</c:v>
                </c:pt>
                <c:pt idx="504">
                  <c:v>980274.8859843387</c:v>
                </c:pt>
                <c:pt idx="505">
                  <c:v>979167.80968652503</c:v>
                </c:pt>
                <c:pt idx="506">
                  <c:v>978062.58759161271</c:v>
                </c:pt>
                <c:pt idx="507">
                  <c:v>976959.21997420979</c:v>
                </c:pt>
                <c:pt idx="508">
                  <c:v>975857.70704128442</c:v>
                </c:pt>
                <c:pt idx="509">
                  <c:v>974758.04893329262</c:v>
                </c:pt>
                <c:pt idx="510">
                  <c:v>973660.24572528887</c:v>
                </c:pt>
                <c:pt idx="511">
                  <c:v>972564.29742802028</c:v>
                </c:pt>
                <c:pt idx="512">
                  <c:v>971470.20398900413</c:v>
                </c:pt>
                <c:pt idx="513">
                  <c:v>970377.965293588</c:v>
                </c:pt>
                <c:pt idx="514">
                  <c:v>969287.58116599708</c:v>
                </c:pt>
                <c:pt idx="515">
                  <c:v>968199.05137036112</c:v>
                </c:pt>
                <c:pt idx="516">
                  <c:v>967112.37561173073</c:v>
                </c:pt>
                <c:pt idx="517">
                  <c:v>966027.55353707389</c:v>
                </c:pt>
                <c:pt idx="518">
                  <c:v>964944.58473626093</c:v>
                </c:pt>
                <c:pt idx="519">
                  <c:v>963863.46874303289</c:v>
                </c:pt>
                <c:pt idx="520">
                  <c:v>962784.20503595576</c:v>
                </c:pt>
                <c:pt idx="521">
                  <c:v>961706.79303936043</c:v>
                </c:pt>
                <c:pt idx="522">
                  <c:v>960631.23212426819</c:v>
                </c:pt>
                <c:pt idx="523">
                  <c:v>959557.52160930366</c:v>
                </c:pt>
                <c:pt idx="524">
                  <c:v>958485.66076159093</c:v>
                </c:pt>
                <c:pt idx="525">
                  <c:v>957415.64879764058</c:v>
                </c:pt>
                <c:pt idx="526">
                  <c:v>956347.48488421959</c:v>
                </c:pt>
                <c:pt idx="527">
                  <c:v>955281.16813921032</c:v>
                </c:pt>
                <c:pt idx="528">
                  <c:v>954216.69763245585</c:v>
                </c:pt>
                <c:pt idx="529">
                  <c:v>953154.07238659239</c:v>
                </c:pt>
                <c:pt idx="530">
                  <c:v>952093.29137787095</c:v>
                </c:pt>
                <c:pt idx="531">
                  <c:v>951034.35353696439</c:v>
                </c:pt>
                <c:pt idx="532">
                  <c:v>949977.25774976367</c:v>
                </c:pt>
                <c:pt idx="533">
                  <c:v>948922.00285816146</c:v>
                </c:pt>
                <c:pt idx="534">
                  <c:v>947868.58766082604</c:v>
                </c:pt>
                <c:pt idx="535">
                  <c:v>946817.01091396064</c:v>
                </c:pt>
                <c:pt idx="536">
                  <c:v>945767.271332053</c:v>
                </c:pt>
                <c:pt idx="537">
                  <c:v>944719.36758861493</c:v>
                </c:pt>
                <c:pt idx="538">
                  <c:v>943673.2983169083</c:v>
                </c:pt>
                <c:pt idx="539">
                  <c:v>942629.06211066211</c:v>
                </c:pt>
                <c:pt idx="540">
                  <c:v>941586.65752477781</c:v>
                </c:pt>
                <c:pt idx="541">
                  <c:v>940546.08307602478</c:v>
                </c:pt>
                <c:pt idx="542">
                  <c:v>939507.33724372496</c:v>
                </c:pt>
                <c:pt idx="543">
                  <c:v>938470.41847042821</c:v>
                </c:pt>
                <c:pt idx="544">
                  <c:v>937435.325162575</c:v>
                </c:pt>
                <c:pt idx="545">
                  <c:v>936402.05569115351</c:v>
                </c:pt>
                <c:pt idx="546">
                  <c:v>935370.60839234316</c:v>
                </c:pt>
                <c:pt idx="547">
                  <c:v>934340.98156814929</c:v>
                </c:pt>
                <c:pt idx="548">
                  <c:v>933313.17348703055</c:v>
                </c:pt>
                <c:pt idx="549">
                  <c:v>932287.18238451448</c:v>
                </c:pt>
                <c:pt idx="550">
                  <c:v>931263.00646380521</c:v>
                </c:pt>
                <c:pt idx="551">
                  <c:v>930240.64389638172</c:v>
                </c:pt>
                <c:pt idx="552">
                  <c:v>929220.09282258642</c:v>
                </c:pt>
                <c:pt idx="553">
                  <c:v>928201.35135220748</c:v>
                </c:pt>
                <c:pt idx="554">
                  <c:v>927184.41756504891</c:v>
                </c:pt>
                <c:pt idx="555">
                  <c:v>926169.28951149643</c:v>
                </c:pt>
                <c:pt idx="556">
                  <c:v>925155.96521306946</c:v>
                </c:pt>
                <c:pt idx="557">
                  <c:v>924144.44266297098</c:v>
                </c:pt>
                <c:pt idx="558">
                  <c:v>923134.71982662415</c:v>
                </c:pt>
                <c:pt idx="559">
                  <c:v>922126.79464220419</c:v>
                </c:pt>
                <c:pt idx="560">
                  <c:v>921120.66502116085</c:v>
                </c:pt>
                <c:pt idx="561">
                  <c:v>920116.32884873357</c:v>
                </c:pt>
                <c:pt idx="562">
                  <c:v>919113.78398445842</c:v>
                </c:pt>
                <c:pt idx="563">
                  <c:v>918113.02826266841</c:v>
                </c:pt>
                <c:pt idx="564">
                  <c:v>917114.05949298595</c:v>
                </c:pt>
                <c:pt idx="565">
                  <c:v>916116.87546080747</c:v>
                </c:pt>
                <c:pt idx="566">
                  <c:v>915121.47392778227</c:v>
                </c:pt>
                <c:pt idx="567">
                  <c:v>914127.85263228195</c:v>
                </c:pt>
                <c:pt idx="568">
                  <c:v>913136.00928986527</c:v>
                </c:pt>
                <c:pt idx="569">
                  <c:v>912145.94159373455</c:v>
                </c:pt>
                <c:pt idx="570">
                  <c:v>911157.6472151865</c:v>
                </c:pt>
                <c:pt idx="571">
                  <c:v>910171.12380405411</c:v>
                </c:pt>
                <c:pt idx="572">
                  <c:v>909186.36898914515</c:v>
                </c:pt>
                <c:pt idx="573">
                  <c:v>908203.38037867134</c:v>
                </c:pt>
                <c:pt idx="574">
                  <c:v>907222.15556067298</c:v>
                </c:pt>
                <c:pt idx="575">
                  <c:v>906242.69210343598</c:v>
                </c:pt>
                <c:pt idx="576">
                  <c:v>905264.98755590373</c:v>
                </c:pt>
                <c:pt idx="577">
                  <c:v>904289.0394480821</c:v>
                </c:pt>
                <c:pt idx="578">
                  <c:v>903314.84529143921</c:v>
                </c:pt>
                <c:pt idx="579">
                  <c:v>902342.40257929731</c:v>
                </c:pt>
                <c:pt idx="580">
                  <c:v>901371.70878722228</c:v>
                </c:pt>
                <c:pt idx="581">
                  <c:v>900402.7613734036</c:v>
                </c:pt>
                <c:pt idx="582">
                  <c:v>899435.55777903169</c:v>
                </c:pt>
                <c:pt idx="583">
                  <c:v>898470.09542866703</c:v>
                </c:pt>
                <c:pt idx="584">
                  <c:v>897506.37173060572</c:v>
                </c:pt>
                <c:pt idx="585">
                  <c:v>896544.38407723908</c:v>
                </c:pt>
                <c:pt idx="586">
                  <c:v>895584.12984540756</c:v>
                </c:pt>
                <c:pt idx="587">
                  <c:v>894625.60639674903</c:v>
                </c:pt>
                <c:pt idx="588">
                  <c:v>893668.81107804342</c:v>
                </c:pt>
                <c:pt idx="589">
                  <c:v>892713.74122155015</c:v>
                </c:pt>
                <c:pt idx="590">
                  <c:v>891760.39414534229</c:v>
                </c:pt>
                <c:pt idx="591">
                  <c:v>890808.76715363457</c:v>
                </c:pt>
                <c:pt idx="592">
                  <c:v>889858.85753710719</c:v>
                </c:pt>
                <c:pt idx="593">
                  <c:v>888910.66257322382</c:v>
                </c:pt>
                <c:pt idx="594">
                  <c:v>887964.1795265472</c:v>
                </c:pt>
                <c:pt idx="595">
                  <c:v>887019.40564904606</c:v>
                </c:pt>
                <c:pt idx="596">
                  <c:v>886076.33818040206</c:v>
                </c:pt>
                <c:pt idx="597">
                  <c:v>885134.97434830782</c:v>
                </c:pt>
                <c:pt idx="598">
                  <c:v>884195.31136876415</c:v>
                </c:pt>
                <c:pt idx="599">
                  <c:v>883257.34644636966</c:v>
                </c:pt>
                <c:pt idx="600">
                  <c:v>882321.07677460858</c:v>
                </c:pt>
                <c:pt idx="601">
                  <c:v>881386.49953613337</c:v>
                </c:pt>
                <c:pt idx="602">
                  <c:v>880453.61190304218</c:v>
                </c:pt>
                <c:pt idx="603">
                  <c:v>879522.41103715275</c:v>
                </c:pt>
                <c:pt idx="604">
                  <c:v>878592.8940902733</c:v>
                </c:pt>
                <c:pt idx="605">
                  <c:v>877665.05820446799</c:v>
                </c:pt>
                <c:pt idx="606">
                  <c:v>876738.90051231813</c:v>
                </c:pt>
                <c:pt idx="607">
                  <c:v>875814.41813718167</c:v>
                </c:pt>
                <c:pt idx="608">
                  <c:v>874891.60819344549</c:v>
                </c:pt>
                <c:pt idx="609">
                  <c:v>873970.46778677602</c:v>
                </c:pt>
                <c:pt idx="610">
                  <c:v>873050.99401436723</c:v>
                </c:pt>
                <c:pt idx="611">
                  <c:v>872133.18396518088</c:v>
                </c:pt>
                <c:pt idx="612">
                  <c:v>871217.03472018801</c:v>
                </c:pt>
                <c:pt idx="613">
                  <c:v>870302.5433526024</c:v>
                </c:pt>
                <c:pt idx="614">
                  <c:v>869389.70692811359</c:v>
                </c:pt>
                <c:pt idx="615">
                  <c:v>868478.5225051149</c:v>
                </c:pt>
                <c:pt idx="616">
                  <c:v>867568.98713492835</c:v>
                </c:pt>
                <c:pt idx="617">
                  <c:v>866661.09786202619</c:v>
                </c:pt>
                <c:pt idx="618">
                  <c:v>865754.85172424931</c:v>
                </c:pt>
              </c:numCache>
            </c:numRef>
          </c:yVal>
          <c:smooth val="0"/>
          <c:extLst>
            <c:ext xmlns:c16="http://schemas.microsoft.com/office/drawing/2014/chart" uri="{C3380CC4-5D6E-409C-BE32-E72D297353CC}">
              <c16:uniqueId val="{00000000-C3FC-4587-B5AF-E56D0666A3CE}"/>
            </c:ext>
          </c:extLst>
        </c:ser>
        <c:dLbls>
          <c:showLegendKey val="0"/>
          <c:showVal val="0"/>
          <c:showCatName val="0"/>
          <c:showSerName val="0"/>
          <c:showPercent val="0"/>
          <c:showBubbleSize val="0"/>
        </c:dLbls>
        <c:axId val="161911168"/>
        <c:axId val="161912704"/>
      </c:scatterChart>
      <c:scatterChart>
        <c:scatterStyle val="lineMarker"/>
        <c:varyColors val="0"/>
        <c:ser>
          <c:idx val="0"/>
          <c:order val="0"/>
          <c:xVal>
            <c:numRef>
              <c:f>Current_limit!$N$23:$N$641</c:f>
              <c:numCache>
                <c:formatCode>0.000</c:formatCode>
                <c:ptCount val="619"/>
                <c:pt idx="0">
                  <c:v>0.1</c:v>
                </c:pt>
                <c:pt idx="1">
                  <c:v>0.2</c:v>
                </c:pt>
                <c:pt idx="2">
                  <c:v>0.30000000000000004</c:v>
                </c:pt>
                <c:pt idx="3">
                  <c:v>0.4</c:v>
                </c:pt>
                <c:pt idx="4">
                  <c:v>0.5</c:v>
                </c:pt>
                <c:pt idx="5">
                  <c:v>0.6</c:v>
                </c:pt>
                <c:pt idx="6">
                  <c:v>0.7</c:v>
                </c:pt>
                <c:pt idx="7">
                  <c:v>0.79999999999999993</c:v>
                </c:pt>
                <c:pt idx="8">
                  <c:v>0.89999999999999991</c:v>
                </c:pt>
                <c:pt idx="9">
                  <c:v>0.90999999999999992</c:v>
                </c:pt>
                <c:pt idx="10">
                  <c:v>0.91999999999999993</c:v>
                </c:pt>
                <c:pt idx="11">
                  <c:v>0.92999999999999994</c:v>
                </c:pt>
                <c:pt idx="12">
                  <c:v>0.94</c:v>
                </c:pt>
                <c:pt idx="13">
                  <c:v>0.95</c:v>
                </c:pt>
                <c:pt idx="14">
                  <c:v>0.96</c:v>
                </c:pt>
                <c:pt idx="15">
                  <c:v>0.97</c:v>
                </c:pt>
                <c:pt idx="16">
                  <c:v>0.98</c:v>
                </c:pt>
                <c:pt idx="17">
                  <c:v>0.99</c:v>
                </c:pt>
                <c:pt idx="18">
                  <c:v>1</c:v>
                </c:pt>
                <c:pt idx="19">
                  <c:v>1.01</c:v>
                </c:pt>
                <c:pt idx="20">
                  <c:v>1.02</c:v>
                </c:pt>
                <c:pt idx="21">
                  <c:v>1.03</c:v>
                </c:pt>
                <c:pt idx="22">
                  <c:v>1.04</c:v>
                </c:pt>
                <c:pt idx="23">
                  <c:v>1.05</c:v>
                </c:pt>
                <c:pt idx="24">
                  <c:v>1.06</c:v>
                </c:pt>
                <c:pt idx="25">
                  <c:v>1.07</c:v>
                </c:pt>
                <c:pt idx="26">
                  <c:v>1.08</c:v>
                </c:pt>
                <c:pt idx="27">
                  <c:v>1.0900000000000001</c:v>
                </c:pt>
                <c:pt idx="28">
                  <c:v>1.1000000000000001</c:v>
                </c:pt>
                <c:pt idx="29">
                  <c:v>1.1100000000000001</c:v>
                </c:pt>
                <c:pt idx="30">
                  <c:v>1.1200000000000001</c:v>
                </c:pt>
                <c:pt idx="31">
                  <c:v>1.1300000000000001</c:v>
                </c:pt>
                <c:pt idx="32">
                  <c:v>1.1400000000000001</c:v>
                </c:pt>
                <c:pt idx="33">
                  <c:v>1.1500000000000001</c:v>
                </c:pt>
                <c:pt idx="34">
                  <c:v>1.1600000000000001</c:v>
                </c:pt>
                <c:pt idx="35">
                  <c:v>1.1700000000000002</c:v>
                </c:pt>
                <c:pt idx="36">
                  <c:v>1.1800000000000002</c:v>
                </c:pt>
                <c:pt idx="37">
                  <c:v>1.1900000000000002</c:v>
                </c:pt>
                <c:pt idx="38">
                  <c:v>1.2000000000000002</c:v>
                </c:pt>
                <c:pt idx="39">
                  <c:v>1.2100000000000002</c:v>
                </c:pt>
                <c:pt idx="40">
                  <c:v>1.2200000000000002</c:v>
                </c:pt>
                <c:pt idx="41">
                  <c:v>1.2300000000000002</c:v>
                </c:pt>
                <c:pt idx="42">
                  <c:v>1.2400000000000002</c:v>
                </c:pt>
                <c:pt idx="43">
                  <c:v>1.2500000000000002</c:v>
                </c:pt>
                <c:pt idx="44">
                  <c:v>1.2600000000000002</c:v>
                </c:pt>
                <c:pt idx="45">
                  <c:v>1.2700000000000002</c:v>
                </c:pt>
                <c:pt idx="46">
                  <c:v>1.2800000000000002</c:v>
                </c:pt>
                <c:pt idx="47">
                  <c:v>1.2900000000000003</c:v>
                </c:pt>
                <c:pt idx="48">
                  <c:v>1.3000000000000003</c:v>
                </c:pt>
                <c:pt idx="49">
                  <c:v>1.3100000000000003</c:v>
                </c:pt>
                <c:pt idx="50">
                  <c:v>1.3200000000000003</c:v>
                </c:pt>
                <c:pt idx="51">
                  <c:v>1.3300000000000003</c:v>
                </c:pt>
                <c:pt idx="52">
                  <c:v>1.3400000000000003</c:v>
                </c:pt>
                <c:pt idx="53">
                  <c:v>1.3500000000000003</c:v>
                </c:pt>
                <c:pt idx="54">
                  <c:v>1.3600000000000003</c:v>
                </c:pt>
                <c:pt idx="55">
                  <c:v>1.3700000000000003</c:v>
                </c:pt>
                <c:pt idx="56">
                  <c:v>1.3800000000000003</c:v>
                </c:pt>
                <c:pt idx="57">
                  <c:v>1.3900000000000003</c:v>
                </c:pt>
                <c:pt idx="58">
                  <c:v>1.4000000000000004</c:v>
                </c:pt>
                <c:pt idx="59">
                  <c:v>1.4100000000000004</c:v>
                </c:pt>
                <c:pt idx="60">
                  <c:v>1.4200000000000004</c:v>
                </c:pt>
                <c:pt idx="61">
                  <c:v>1.4300000000000004</c:v>
                </c:pt>
                <c:pt idx="62">
                  <c:v>1.4400000000000004</c:v>
                </c:pt>
                <c:pt idx="63">
                  <c:v>1.4500000000000004</c:v>
                </c:pt>
                <c:pt idx="64">
                  <c:v>1.4600000000000004</c:v>
                </c:pt>
                <c:pt idx="65">
                  <c:v>1.4700000000000004</c:v>
                </c:pt>
                <c:pt idx="66">
                  <c:v>1.4800000000000004</c:v>
                </c:pt>
                <c:pt idx="67">
                  <c:v>1.4900000000000004</c:v>
                </c:pt>
                <c:pt idx="68">
                  <c:v>1.5000000000000004</c:v>
                </c:pt>
                <c:pt idx="69">
                  <c:v>1.5100000000000005</c:v>
                </c:pt>
                <c:pt idx="70">
                  <c:v>1.5200000000000005</c:v>
                </c:pt>
                <c:pt idx="71">
                  <c:v>1.5300000000000005</c:v>
                </c:pt>
                <c:pt idx="72">
                  <c:v>1.5400000000000005</c:v>
                </c:pt>
                <c:pt idx="73">
                  <c:v>1.5500000000000005</c:v>
                </c:pt>
                <c:pt idx="74">
                  <c:v>1.5600000000000005</c:v>
                </c:pt>
                <c:pt idx="75">
                  <c:v>1.5700000000000005</c:v>
                </c:pt>
                <c:pt idx="76">
                  <c:v>1.5800000000000005</c:v>
                </c:pt>
                <c:pt idx="77">
                  <c:v>1.5900000000000005</c:v>
                </c:pt>
                <c:pt idx="78">
                  <c:v>1.6000000000000005</c:v>
                </c:pt>
                <c:pt idx="79">
                  <c:v>1.6100000000000005</c:v>
                </c:pt>
                <c:pt idx="80">
                  <c:v>1.6200000000000006</c:v>
                </c:pt>
                <c:pt idx="81">
                  <c:v>1.6300000000000006</c:v>
                </c:pt>
                <c:pt idx="82">
                  <c:v>1.6400000000000006</c:v>
                </c:pt>
                <c:pt idx="83">
                  <c:v>1.6500000000000006</c:v>
                </c:pt>
                <c:pt idx="84">
                  <c:v>1.6600000000000006</c:v>
                </c:pt>
                <c:pt idx="85">
                  <c:v>1.6700000000000006</c:v>
                </c:pt>
                <c:pt idx="86">
                  <c:v>1.6800000000000006</c:v>
                </c:pt>
                <c:pt idx="87">
                  <c:v>1.6900000000000006</c:v>
                </c:pt>
                <c:pt idx="88">
                  <c:v>1.7000000000000006</c:v>
                </c:pt>
                <c:pt idx="89">
                  <c:v>1.7100000000000006</c:v>
                </c:pt>
                <c:pt idx="90">
                  <c:v>1.7200000000000006</c:v>
                </c:pt>
                <c:pt idx="91">
                  <c:v>1.7300000000000006</c:v>
                </c:pt>
                <c:pt idx="92">
                  <c:v>1.7400000000000007</c:v>
                </c:pt>
                <c:pt idx="93">
                  <c:v>1.7500000000000007</c:v>
                </c:pt>
                <c:pt idx="94">
                  <c:v>1.7600000000000007</c:v>
                </c:pt>
                <c:pt idx="95">
                  <c:v>1.7700000000000007</c:v>
                </c:pt>
                <c:pt idx="96">
                  <c:v>1.7800000000000007</c:v>
                </c:pt>
                <c:pt idx="97">
                  <c:v>1.7900000000000007</c:v>
                </c:pt>
                <c:pt idx="98">
                  <c:v>1.8000000000000007</c:v>
                </c:pt>
                <c:pt idx="99">
                  <c:v>1.8100000000000007</c:v>
                </c:pt>
                <c:pt idx="100">
                  <c:v>1.8200000000000007</c:v>
                </c:pt>
                <c:pt idx="101">
                  <c:v>1.8300000000000007</c:v>
                </c:pt>
                <c:pt idx="102">
                  <c:v>1.8400000000000007</c:v>
                </c:pt>
                <c:pt idx="103">
                  <c:v>1.8500000000000008</c:v>
                </c:pt>
                <c:pt idx="104">
                  <c:v>1.8600000000000008</c:v>
                </c:pt>
                <c:pt idx="105">
                  <c:v>1.8700000000000008</c:v>
                </c:pt>
                <c:pt idx="106">
                  <c:v>1.8800000000000008</c:v>
                </c:pt>
                <c:pt idx="107">
                  <c:v>1.8900000000000008</c:v>
                </c:pt>
                <c:pt idx="108">
                  <c:v>1.9000000000000008</c:v>
                </c:pt>
                <c:pt idx="109">
                  <c:v>1.9100000000000008</c:v>
                </c:pt>
                <c:pt idx="110">
                  <c:v>1.9200000000000008</c:v>
                </c:pt>
                <c:pt idx="111">
                  <c:v>1.9300000000000008</c:v>
                </c:pt>
                <c:pt idx="112">
                  <c:v>1.9400000000000008</c:v>
                </c:pt>
                <c:pt idx="113">
                  <c:v>1.9500000000000008</c:v>
                </c:pt>
                <c:pt idx="114">
                  <c:v>1.9600000000000009</c:v>
                </c:pt>
                <c:pt idx="115">
                  <c:v>1.9700000000000009</c:v>
                </c:pt>
                <c:pt idx="116">
                  <c:v>1.9800000000000009</c:v>
                </c:pt>
                <c:pt idx="117">
                  <c:v>1.9900000000000009</c:v>
                </c:pt>
                <c:pt idx="118">
                  <c:v>2.0000000000000009</c:v>
                </c:pt>
                <c:pt idx="119">
                  <c:v>2.0100000000000007</c:v>
                </c:pt>
                <c:pt idx="120">
                  <c:v>2.0200000000000005</c:v>
                </c:pt>
                <c:pt idx="121">
                  <c:v>2.0300000000000002</c:v>
                </c:pt>
                <c:pt idx="122">
                  <c:v>2.04</c:v>
                </c:pt>
                <c:pt idx="123">
                  <c:v>2.0499999999999998</c:v>
                </c:pt>
                <c:pt idx="124">
                  <c:v>2.0599999999999996</c:v>
                </c:pt>
                <c:pt idx="125">
                  <c:v>2.0699999999999994</c:v>
                </c:pt>
                <c:pt idx="126">
                  <c:v>2.0799999999999992</c:v>
                </c:pt>
                <c:pt idx="127">
                  <c:v>2.089999999999999</c:v>
                </c:pt>
                <c:pt idx="128">
                  <c:v>2.0999999999999988</c:v>
                </c:pt>
                <c:pt idx="129">
                  <c:v>2.1099999999999985</c:v>
                </c:pt>
                <c:pt idx="130">
                  <c:v>2.1199999999999983</c:v>
                </c:pt>
                <c:pt idx="131">
                  <c:v>2.1299999999999981</c:v>
                </c:pt>
                <c:pt idx="132">
                  <c:v>2.1399999999999979</c:v>
                </c:pt>
                <c:pt idx="133">
                  <c:v>2.1499999999999977</c:v>
                </c:pt>
                <c:pt idx="134">
                  <c:v>2.1599999999999975</c:v>
                </c:pt>
                <c:pt idx="135">
                  <c:v>2.1699999999999973</c:v>
                </c:pt>
                <c:pt idx="136">
                  <c:v>2.1799999999999971</c:v>
                </c:pt>
                <c:pt idx="137">
                  <c:v>2.1899999999999968</c:v>
                </c:pt>
                <c:pt idx="138">
                  <c:v>2.1999999999999966</c:v>
                </c:pt>
                <c:pt idx="139">
                  <c:v>2.2099999999999964</c:v>
                </c:pt>
                <c:pt idx="140">
                  <c:v>2.2199999999999962</c:v>
                </c:pt>
                <c:pt idx="141">
                  <c:v>2.229999999999996</c:v>
                </c:pt>
                <c:pt idx="142">
                  <c:v>2.2399999999999958</c:v>
                </c:pt>
                <c:pt idx="143">
                  <c:v>2.2499999999999956</c:v>
                </c:pt>
                <c:pt idx="144">
                  <c:v>2.2599999999999953</c:v>
                </c:pt>
                <c:pt idx="145">
                  <c:v>2.2699999999999951</c:v>
                </c:pt>
                <c:pt idx="146">
                  <c:v>2.2799999999999949</c:v>
                </c:pt>
                <c:pt idx="147">
                  <c:v>2.2899999999999947</c:v>
                </c:pt>
                <c:pt idx="148">
                  <c:v>2.2999999999999945</c:v>
                </c:pt>
                <c:pt idx="149">
                  <c:v>2.3099999999999943</c:v>
                </c:pt>
                <c:pt idx="150">
                  <c:v>2.3199999999999941</c:v>
                </c:pt>
                <c:pt idx="151">
                  <c:v>2.3299999999999939</c:v>
                </c:pt>
                <c:pt idx="152">
                  <c:v>2.3399999999999936</c:v>
                </c:pt>
                <c:pt idx="153">
                  <c:v>2.3499999999999934</c:v>
                </c:pt>
                <c:pt idx="154">
                  <c:v>2.3599999999999932</c:v>
                </c:pt>
                <c:pt idx="155">
                  <c:v>2.369999999999993</c:v>
                </c:pt>
                <c:pt idx="156">
                  <c:v>2.3799999999999928</c:v>
                </c:pt>
                <c:pt idx="157">
                  <c:v>2.3899999999999926</c:v>
                </c:pt>
                <c:pt idx="158">
                  <c:v>2.3999999999999924</c:v>
                </c:pt>
                <c:pt idx="159">
                  <c:v>2.4099999999999921</c:v>
                </c:pt>
                <c:pt idx="160">
                  <c:v>2.4199999999999919</c:v>
                </c:pt>
                <c:pt idx="161">
                  <c:v>2.4299999999999917</c:v>
                </c:pt>
                <c:pt idx="162">
                  <c:v>2.4399999999999915</c:v>
                </c:pt>
                <c:pt idx="163">
                  <c:v>2.4499999999999913</c:v>
                </c:pt>
                <c:pt idx="164">
                  <c:v>2.4599999999999911</c:v>
                </c:pt>
                <c:pt idx="165">
                  <c:v>2.4699999999999909</c:v>
                </c:pt>
                <c:pt idx="166">
                  <c:v>2.4799999999999907</c:v>
                </c:pt>
                <c:pt idx="167">
                  <c:v>2.4899999999999904</c:v>
                </c:pt>
                <c:pt idx="168">
                  <c:v>2.4999999999999902</c:v>
                </c:pt>
                <c:pt idx="169">
                  <c:v>2.50999999999999</c:v>
                </c:pt>
                <c:pt idx="170">
                  <c:v>2.5199999999999898</c:v>
                </c:pt>
                <c:pt idx="171">
                  <c:v>2.5299999999999896</c:v>
                </c:pt>
                <c:pt idx="172">
                  <c:v>2.5399999999999894</c:v>
                </c:pt>
                <c:pt idx="173">
                  <c:v>2.5499999999999892</c:v>
                </c:pt>
                <c:pt idx="174">
                  <c:v>2.559999999999989</c:v>
                </c:pt>
                <c:pt idx="175">
                  <c:v>2.5699999999999887</c:v>
                </c:pt>
                <c:pt idx="176">
                  <c:v>2.5799999999999885</c:v>
                </c:pt>
                <c:pt idx="177">
                  <c:v>2.5899999999999883</c:v>
                </c:pt>
                <c:pt idx="178">
                  <c:v>2.5999999999999881</c:v>
                </c:pt>
                <c:pt idx="179">
                  <c:v>2.6099999999999879</c:v>
                </c:pt>
                <c:pt idx="180">
                  <c:v>2.6199999999999877</c:v>
                </c:pt>
                <c:pt idx="181">
                  <c:v>2.6299999999999875</c:v>
                </c:pt>
                <c:pt idx="182">
                  <c:v>2.6399999999999872</c:v>
                </c:pt>
                <c:pt idx="183">
                  <c:v>2.649999999999987</c:v>
                </c:pt>
                <c:pt idx="184">
                  <c:v>2.6599999999999868</c:v>
                </c:pt>
                <c:pt idx="185">
                  <c:v>2.6699999999999866</c:v>
                </c:pt>
                <c:pt idx="186">
                  <c:v>2.6799999999999864</c:v>
                </c:pt>
                <c:pt idx="187">
                  <c:v>2.6899999999999862</c:v>
                </c:pt>
                <c:pt idx="188">
                  <c:v>2.699999999999986</c:v>
                </c:pt>
                <c:pt idx="189">
                  <c:v>2.7099999999999858</c:v>
                </c:pt>
                <c:pt idx="190">
                  <c:v>2.7199999999999855</c:v>
                </c:pt>
                <c:pt idx="191">
                  <c:v>2.7299999999999853</c:v>
                </c:pt>
                <c:pt idx="192">
                  <c:v>2.7399999999999851</c:v>
                </c:pt>
                <c:pt idx="193">
                  <c:v>2.7499999999999849</c:v>
                </c:pt>
                <c:pt idx="194">
                  <c:v>2.7599999999999847</c:v>
                </c:pt>
                <c:pt idx="195">
                  <c:v>2.7699999999999845</c:v>
                </c:pt>
                <c:pt idx="196">
                  <c:v>2.7799999999999843</c:v>
                </c:pt>
                <c:pt idx="197">
                  <c:v>2.789999999999984</c:v>
                </c:pt>
                <c:pt idx="198">
                  <c:v>2.7999999999999838</c:v>
                </c:pt>
                <c:pt idx="199">
                  <c:v>2.8099999999999836</c:v>
                </c:pt>
                <c:pt idx="200">
                  <c:v>2.8199999999999834</c:v>
                </c:pt>
                <c:pt idx="201">
                  <c:v>2.8299999999999832</c:v>
                </c:pt>
                <c:pt idx="202">
                  <c:v>2.839999999999983</c:v>
                </c:pt>
                <c:pt idx="203">
                  <c:v>2.8499999999999828</c:v>
                </c:pt>
                <c:pt idx="204">
                  <c:v>2.8599999999999826</c:v>
                </c:pt>
                <c:pt idx="205">
                  <c:v>2.8699999999999823</c:v>
                </c:pt>
                <c:pt idx="206">
                  <c:v>2.8799999999999821</c:v>
                </c:pt>
                <c:pt idx="207">
                  <c:v>2.8899999999999819</c:v>
                </c:pt>
                <c:pt idx="208">
                  <c:v>2.8999999999999817</c:v>
                </c:pt>
                <c:pt idx="209">
                  <c:v>2.9099999999999815</c:v>
                </c:pt>
                <c:pt idx="210">
                  <c:v>2.9199999999999813</c:v>
                </c:pt>
                <c:pt idx="211">
                  <c:v>2.9299999999999811</c:v>
                </c:pt>
                <c:pt idx="212">
                  <c:v>2.9399999999999809</c:v>
                </c:pt>
                <c:pt idx="213">
                  <c:v>2.9499999999999806</c:v>
                </c:pt>
                <c:pt idx="214">
                  <c:v>2.9599999999999804</c:v>
                </c:pt>
                <c:pt idx="215">
                  <c:v>2.9699999999999802</c:v>
                </c:pt>
                <c:pt idx="216">
                  <c:v>2.97999999999998</c:v>
                </c:pt>
                <c:pt idx="217">
                  <c:v>2.9899999999999798</c:v>
                </c:pt>
                <c:pt idx="218">
                  <c:v>2.9999999999999796</c:v>
                </c:pt>
                <c:pt idx="219">
                  <c:v>3.0099999999999794</c:v>
                </c:pt>
                <c:pt idx="220">
                  <c:v>3.0199999999999791</c:v>
                </c:pt>
                <c:pt idx="221">
                  <c:v>3.0299999999999789</c:v>
                </c:pt>
                <c:pt idx="222">
                  <c:v>3.0399999999999787</c:v>
                </c:pt>
                <c:pt idx="223">
                  <c:v>3.0499999999999785</c:v>
                </c:pt>
                <c:pt idx="224">
                  <c:v>3.0599999999999783</c:v>
                </c:pt>
                <c:pt idx="225">
                  <c:v>3.0699999999999781</c:v>
                </c:pt>
                <c:pt idx="226">
                  <c:v>3.0799999999999779</c:v>
                </c:pt>
                <c:pt idx="227">
                  <c:v>3.0899999999999777</c:v>
                </c:pt>
                <c:pt idx="228">
                  <c:v>3.0999999999999774</c:v>
                </c:pt>
                <c:pt idx="229">
                  <c:v>3.1099999999999772</c:v>
                </c:pt>
                <c:pt idx="230">
                  <c:v>3.119999999999977</c:v>
                </c:pt>
                <c:pt idx="231">
                  <c:v>3.1299999999999768</c:v>
                </c:pt>
                <c:pt idx="232">
                  <c:v>3.1399999999999766</c:v>
                </c:pt>
                <c:pt idx="233">
                  <c:v>3.1499999999999764</c:v>
                </c:pt>
                <c:pt idx="234">
                  <c:v>3.1599999999999762</c:v>
                </c:pt>
                <c:pt idx="235">
                  <c:v>3.1699999999999759</c:v>
                </c:pt>
                <c:pt idx="236">
                  <c:v>3.1799999999999757</c:v>
                </c:pt>
                <c:pt idx="237">
                  <c:v>3.1899999999999755</c:v>
                </c:pt>
                <c:pt idx="238">
                  <c:v>3.1999999999999753</c:v>
                </c:pt>
                <c:pt idx="239">
                  <c:v>3.2099999999999751</c:v>
                </c:pt>
                <c:pt idx="240">
                  <c:v>3.2199999999999749</c:v>
                </c:pt>
                <c:pt idx="241">
                  <c:v>3.2299999999999747</c:v>
                </c:pt>
                <c:pt idx="242">
                  <c:v>3.2399999999999745</c:v>
                </c:pt>
                <c:pt idx="243">
                  <c:v>3.2499999999999742</c:v>
                </c:pt>
                <c:pt idx="244">
                  <c:v>3.259999999999974</c:v>
                </c:pt>
                <c:pt idx="245">
                  <c:v>3.2699999999999738</c:v>
                </c:pt>
                <c:pt idx="246">
                  <c:v>3.2799999999999736</c:v>
                </c:pt>
                <c:pt idx="247">
                  <c:v>3.2899999999999734</c:v>
                </c:pt>
                <c:pt idx="248">
                  <c:v>3.2999999999999732</c:v>
                </c:pt>
                <c:pt idx="249">
                  <c:v>3.309999999999973</c:v>
                </c:pt>
                <c:pt idx="250">
                  <c:v>3.3199999999999728</c:v>
                </c:pt>
                <c:pt idx="251">
                  <c:v>3.3299999999999725</c:v>
                </c:pt>
                <c:pt idx="252">
                  <c:v>3.3399999999999723</c:v>
                </c:pt>
                <c:pt idx="253">
                  <c:v>3.3499999999999721</c:v>
                </c:pt>
                <c:pt idx="254">
                  <c:v>3.3599999999999719</c:v>
                </c:pt>
                <c:pt idx="255">
                  <c:v>3.3699999999999717</c:v>
                </c:pt>
                <c:pt idx="256">
                  <c:v>3.3799999999999715</c:v>
                </c:pt>
                <c:pt idx="257">
                  <c:v>3.3899999999999713</c:v>
                </c:pt>
                <c:pt idx="258">
                  <c:v>3.399999999999971</c:v>
                </c:pt>
                <c:pt idx="259">
                  <c:v>3.4099999999999708</c:v>
                </c:pt>
                <c:pt idx="260">
                  <c:v>3.4199999999999706</c:v>
                </c:pt>
                <c:pt idx="261">
                  <c:v>3.4299999999999704</c:v>
                </c:pt>
                <c:pt idx="262">
                  <c:v>3.4399999999999702</c:v>
                </c:pt>
                <c:pt idx="263">
                  <c:v>3.44999999999997</c:v>
                </c:pt>
                <c:pt idx="264">
                  <c:v>3.4599999999999698</c:v>
                </c:pt>
                <c:pt idx="265">
                  <c:v>3.4699999999999696</c:v>
                </c:pt>
                <c:pt idx="266">
                  <c:v>3.4799999999999693</c:v>
                </c:pt>
                <c:pt idx="267">
                  <c:v>3.4899999999999691</c:v>
                </c:pt>
                <c:pt idx="268">
                  <c:v>3.4999999999999689</c:v>
                </c:pt>
                <c:pt idx="269">
                  <c:v>3.5099999999999687</c:v>
                </c:pt>
                <c:pt idx="270">
                  <c:v>3.5199999999999685</c:v>
                </c:pt>
                <c:pt idx="271">
                  <c:v>3.5299999999999683</c:v>
                </c:pt>
                <c:pt idx="272">
                  <c:v>3.5399999999999681</c:v>
                </c:pt>
                <c:pt idx="273">
                  <c:v>3.5499999999999678</c:v>
                </c:pt>
                <c:pt idx="274">
                  <c:v>3.55</c:v>
                </c:pt>
                <c:pt idx="275">
                  <c:v>3.55</c:v>
                </c:pt>
                <c:pt idx="276">
                  <c:v>3.55</c:v>
                </c:pt>
                <c:pt idx="277">
                  <c:v>3.55</c:v>
                </c:pt>
                <c:pt idx="278">
                  <c:v>3.55</c:v>
                </c:pt>
                <c:pt idx="279">
                  <c:v>3.55</c:v>
                </c:pt>
                <c:pt idx="280">
                  <c:v>3.55</c:v>
                </c:pt>
                <c:pt idx="281">
                  <c:v>3.55</c:v>
                </c:pt>
                <c:pt idx="282">
                  <c:v>3.55</c:v>
                </c:pt>
                <c:pt idx="283">
                  <c:v>3.55</c:v>
                </c:pt>
                <c:pt idx="284">
                  <c:v>3.55</c:v>
                </c:pt>
                <c:pt idx="285">
                  <c:v>3.55</c:v>
                </c:pt>
                <c:pt idx="286">
                  <c:v>3.55</c:v>
                </c:pt>
                <c:pt idx="287">
                  <c:v>3.55</c:v>
                </c:pt>
                <c:pt idx="288">
                  <c:v>3.55</c:v>
                </c:pt>
                <c:pt idx="289">
                  <c:v>3.55</c:v>
                </c:pt>
                <c:pt idx="290">
                  <c:v>3.55</c:v>
                </c:pt>
                <c:pt idx="291">
                  <c:v>3.55</c:v>
                </c:pt>
                <c:pt idx="292">
                  <c:v>3.55</c:v>
                </c:pt>
                <c:pt idx="293">
                  <c:v>3.55</c:v>
                </c:pt>
                <c:pt idx="294">
                  <c:v>3.55</c:v>
                </c:pt>
                <c:pt idx="295">
                  <c:v>3.55</c:v>
                </c:pt>
                <c:pt idx="296">
                  <c:v>3.55</c:v>
                </c:pt>
                <c:pt idx="297">
                  <c:v>3.55</c:v>
                </c:pt>
                <c:pt idx="298">
                  <c:v>3.55</c:v>
                </c:pt>
                <c:pt idx="299">
                  <c:v>3.55</c:v>
                </c:pt>
                <c:pt idx="300">
                  <c:v>3.55</c:v>
                </c:pt>
                <c:pt idx="301">
                  <c:v>3.55</c:v>
                </c:pt>
                <c:pt idx="302">
                  <c:v>3.55</c:v>
                </c:pt>
                <c:pt idx="303">
                  <c:v>3.55</c:v>
                </c:pt>
                <c:pt idx="304">
                  <c:v>3.55</c:v>
                </c:pt>
                <c:pt idx="305">
                  <c:v>3.55</c:v>
                </c:pt>
                <c:pt idx="306">
                  <c:v>3.55</c:v>
                </c:pt>
                <c:pt idx="307">
                  <c:v>3.55</c:v>
                </c:pt>
                <c:pt idx="308">
                  <c:v>3.55</c:v>
                </c:pt>
                <c:pt idx="309">
                  <c:v>3.55</c:v>
                </c:pt>
                <c:pt idx="310">
                  <c:v>3.55</c:v>
                </c:pt>
                <c:pt idx="311">
                  <c:v>3.55</c:v>
                </c:pt>
                <c:pt idx="312">
                  <c:v>3.55</c:v>
                </c:pt>
                <c:pt idx="313">
                  <c:v>3.55</c:v>
                </c:pt>
                <c:pt idx="314">
                  <c:v>3.55</c:v>
                </c:pt>
                <c:pt idx="315">
                  <c:v>3.55</c:v>
                </c:pt>
                <c:pt idx="316">
                  <c:v>3.55</c:v>
                </c:pt>
                <c:pt idx="317">
                  <c:v>3.55</c:v>
                </c:pt>
                <c:pt idx="318">
                  <c:v>3.55</c:v>
                </c:pt>
                <c:pt idx="319">
                  <c:v>3.55</c:v>
                </c:pt>
                <c:pt idx="320">
                  <c:v>3.55</c:v>
                </c:pt>
                <c:pt idx="321">
                  <c:v>3.55</c:v>
                </c:pt>
                <c:pt idx="322">
                  <c:v>3.55</c:v>
                </c:pt>
                <c:pt idx="323">
                  <c:v>3.55</c:v>
                </c:pt>
                <c:pt idx="324">
                  <c:v>3.55</c:v>
                </c:pt>
                <c:pt idx="325">
                  <c:v>3.55</c:v>
                </c:pt>
                <c:pt idx="326">
                  <c:v>3.55</c:v>
                </c:pt>
                <c:pt idx="327">
                  <c:v>3.55</c:v>
                </c:pt>
                <c:pt idx="328">
                  <c:v>3.55</c:v>
                </c:pt>
                <c:pt idx="329">
                  <c:v>3.55</c:v>
                </c:pt>
                <c:pt idx="330">
                  <c:v>3.55</c:v>
                </c:pt>
                <c:pt idx="331">
                  <c:v>3.55</c:v>
                </c:pt>
                <c:pt idx="332">
                  <c:v>3.55</c:v>
                </c:pt>
                <c:pt idx="333">
                  <c:v>3.55</c:v>
                </c:pt>
                <c:pt idx="334">
                  <c:v>3.55</c:v>
                </c:pt>
                <c:pt idx="335">
                  <c:v>3.55</c:v>
                </c:pt>
                <c:pt idx="336">
                  <c:v>3.55</c:v>
                </c:pt>
                <c:pt idx="337">
                  <c:v>3.55</c:v>
                </c:pt>
                <c:pt idx="338">
                  <c:v>3.55</c:v>
                </c:pt>
                <c:pt idx="339">
                  <c:v>3.55</c:v>
                </c:pt>
                <c:pt idx="340">
                  <c:v>3.55</c:v>
                </c:pt>
                <c:pt idx="341">
                  <c:v>3.55</c:v>
                </c:pt>
                <c:pt idx="342">
                  <c:v>3.55</c:v>
                </c:pt>
                <c:pt idx="343">
                  <c:v>3.55</c:v>
                </c:pt>
                <c:pt idx="344">
                  <c:v>3.55</c:v>
                </c:pt>
                <c:pt idx="345">
                  <c:v>3.55</c:v>
                </c:pt>
                <c:pt idx="346">
                  <c:v>3.55</c:v>
                </c:pt>
                <c:pt idx="347">
                  <c:v>3.55</c:v>
                </c:pt>
                <c:pt idx="348">
                  <c:v>3.55</c:v>
                </c:pt>
                <c:pt idx="349">
                  <c:v>3.55</c:v>
                </c:pt>
                <c:pt idx="350">
                  <c:v>3.55</c:v>
                </c:pt>
                <c:pt idx="351">
                  <c:v>3.55</c:v>
                </c:pt>
                <c:pt idx="352">
                  <c:v>3.55</c:v>
                </c:pt>
                <c:pt idx="353">
                  <c:v>3.55</c:v>
                </c:pt>
                <c:pt idx="354">
                  <c:v>3.55</c:v>
                </c:pt>
                <c:pt idx="355">
                  <c:v>3.55</c:v>
                </c:pt>
                <c:pt idx="356">
                  <c:v>3.55</c:v>
                </c:pt>
                <c:pt idx="357">
                  <c:v>3.55</c:v>
                </c:pt>
                <c:pt idx="358">
                  <c:v>3.55</c:v>
                </c:pt>
                <c:pt idx="359">
                  <c:v>3.55</c:v>
                </c:pt>
                <c:pt idx="360">
                  <c:v>3.55</c:v>
                </c:pt>
                <c:pt idx="361">
                  <c:v>3.55</c:v>
                </c:pt>
                <c:pt idx="362">
                  <c:v>3.55</c:v>
                </c:pt>
                <c:pt idx="363">
                  <c:v>3.55</c:v>
                </c:pt>
                <c:pt idx="364">
                  <c:v>3.55</c:v>
                </c:pt>
                <c:pt idx="365">
                  <c:v>3.55</c:v>
                </c:pt>
                <c:pt idx="366">
                  <c:v>3.55</c:v>
                </c:pt>
                <c:pt idx="367">
                  <c:v>3.55</c:v>
                </c:pt>
                <c:pt idx="368">
                  <c:v>3.55</c:v>
                </c:pt>
                <c:pt idx="369">
                  <c:v>3.55</c:v>
                </c:pt>
                <c:pt idx="370">
                  <c:v>3.55</c:v>
                </c:pt>
                <c:pt idx="371">
                  <c:v>3.55</c:v>
                </c:pt>
                <c:pt idx="372">
                  <c:v>3.55</c:v>
                </c:pt>
                <c:pt idx="373">
                  <c:v>3.55</c:v>
                </c:pt>
                <c:pt idx="374">
                  <c:v>3.55</c:v>
                </c:pt>
                <c:pt idx="375">
                  <c:v>3.55</c:v>
                </c:pt>
                <c:pt idx="376">
                  <c:v>3.55</c:v>
                </c:pt>
                <c:pt idx="377">
                  <c:v>3.55</c:v>
                </c:pt>
                <c:pt idx="378">
                  <c:v>3.55</c:v>
                </c:pt>
                <c:pt idx="379">
                  <c:v>3.55</c:v>
                </c:pt>
                <c:pt idx="380">
                  <c:v>3.55</c:v>
                </c:pt>
                <c:pt idx="381">
                  <c:v>3.55</c:v>
                </c:pt>
                <c:pt idx="382">
                  <c:v>3.55</c:v>
                </c:pt>
                <c:pt idx="383">
                  <c:v>3.55</c:v>
                </c:pt>
                <c:pt idx="384">
                  <c:v>3.55</c:v>
                </c:pt>
                <c:pt idx="385">
                  <c:v>3.55</c:v>
                </c:pt>
                <c:pt idx="386">
                  <c:v>3.55</c:v>
                </c:pt>
                <c:pt idx="387">
                  <c:v>3.55</c:v>
                </c:pt>
                <c:pt idx="388">
                  <c:v>3.55</c:v>
                </c:pt>
                <c:pt idx="389">
                  <c:v>3.55</c:v>
                </c:pt>
                <c:pt idx="390">
                  <c:v>3.55</c:v>
                </c:pt>
                <c:pt idx="391">
                  <c:v>3.55</c:v>
                </c:pt>
                <c:pt idx="392">
                  <c:v>3.55</c:v>
                </c:pt>
                <c:pt idx="393">
                  <c:v>3.55</c:v>
                </c:pt>
                <c:pt idx="394">
                  <c:v>3.55</c:v>
                </c:pt>
                <c:pt idx="395">
                  <c:v>3.55</c:v>
                </c:pt>
                <c:pt idx="396">
                  <c:v>3.55</c:v>
                </c:pt>
                <c:pt idx="397">
                  <c:v>3.55</c:v>
                </c:pt>
                <c:pt idx="398">
                  <c:v>3.55</c:v>
                </c:pt>
                <c:pt idx="399">
                  <c:v>3.55</c:v>
                </c:pt>
                <c:pt idx="400">
                  <c:v>3.55</c:v>
                </c:pt>
                <c:pt idx="401">
                  <c:v>3.55</c:v>
                </c:pt>
                <c:pt idx="402">
                  <c:v>3.55</c:v>
                </c:pt>
                <c:pt idx="403">
                  <c:v>3.55</c:v>
                </c:pt>
                <c:pt idx="404">
                  <c:v>3.55</c:v>
                </c:pt>
                <c:pt idx="405">
                  <c:v>3.55</c:v>
                </c:pt>
                <c:pt idx="406">
                  <c:v>3.55</c:v>
                </c:pt>
                <c:pt idx="407">
                  <c:v>3.55</c:v>
                </c:pt>
                <c:pt idx="408">
                  <c:v>3.55</c:v>
                </c:pt>
                <c:pt idx="409">
                  <c:v>3.55</c:v>
                </c:pt>
                <c:pt idx="410">
                  <c:v>3.55</c:v>
                </c:pt>
                <c:pt idx="411">
                  <c:v>3.55</c:v>
                </c:pt>
                <c:pt idx="412">
                  <c:v>3.55</c:v>
                </c:pt>
                <c:pt idx="413">
                  <c:v>3.55</c:v>
                </c:pt>
                <c:pt idx="414">
                  <c:v>3.55</c:v>
                </c:pt>
                <c:pt idx="415">
                  <c:v>3.55</c:v>
                </c:pt>
                <c:pt idx="416">
                  <c:v>3.55</c:v>
                </c:pt>
                <c:pt idx="417">
                  <c:v>3.55</c:v>
                </c:pt>
                <c:pt idx="418">
                  <c:v>3.55</c:v>
                </c:pt>
                <c:pt idx="419">
                  <c:v>3.55</c:v>
                </c:pt>
                <c:pt idx="420">
                  <c:v>3.55</c:v>
                </c:pt>
                <c:pt idx="421">
                  <c:v>3.55</c:v>
                </c:pt>
                <c:pt idx="422">
                  <c:v>3.55</c:v>
                </c:pt>
                <c:pt idx="423">
                  <c:v>3.55</c:v>
                </c:pt>
                <c:pt idx="424">
                  <c:v>3.55</c:v>
                </c:pt>
                <c:pt idx="425">
                  <c:v>3.55</c:v>
                </c:pt>
                <c:pt idx="426">
                  <c:v>3.55</c:v>
                </c:pt>
                <c:pt idx="427">
                  <c:v>3.55</c:v>
                </c:pt>
                <c:pt idx="428">
                  <c:v>3.55</c:v>
                </c:pt>
                <c:pt idx="429">
                  <c:v>3.55</c:v>
                </c:pt>
                <c:pt idx="430">
                  <c:v>3.55</c:v>
                </c:pt>
                <c:pt idx="431">
                  <c:v>3.55</c:v>
                </c:pt>
                <c:pt idx="432">
                  <c:v>3.55</c:v>
                </c:pt>
                <c:pt idx="433">
                  <c:v>3.55</c:v>
                </c:pt>
                <c:pt idx="434">
                  <c:v>3.55</c:v>
                </c:pt>
                <c:pt idx="435">
                  <c:v>3.55</c:v>
                </c:pt>
                <c:pt idx="436">
                  <c:v>3.55</c:v>
                </c:pt>
                <c:pt idx="437">
                  <c:v>3.55</c:v>
                </c:pt>
                <c:pt idx="438">
                  <c:v>3.55</c:v>
                </c:pt>
                <c:pt idx="439">
                  <c:v>3.55</c:v>
                </c:pt>
                <c:pt idx="440">
                  <c:v>3.55</c:v>
                </c:pt>
                <c:pt idx="441">
                  <c:v>3.55</c:v>
                </c:pt>
                <c:pt idx="442">
                  <c:v>3.55</c:v>
                </c:pt>
                <c:pt idx="443">
                  <c:v>3.55</c:v>
                </c:pt>
                <c:pt idx="444">
                  <c:v>3.55</c:v>
                </c:pt>
                <c:pt idx="445">
                  <c:v>3.55</c:v>
                </c:pt>
                <c:pt idx="446">
                  <c:v>3.55</c:v>
                </c:pt>
                <c:pt idx="447">
                  <c:v>3.55</c:v>
                </c:pt>
                <c:pt idx="448">
                  <c:v>3.55</c:v>
                </c:pt>
                <c:pt idx="449">
                  <c:v>3.55</c:v>
                </c:pt>
                <c:pt idx="450">
                  <c:v>3.55</c:v>
                </c:pt>
                <c:pt idx="451">
                  <c:v>3.55</c:v>
                </c:pt>
                <c:pt idx="452">
                  <c:v>3.55</c:v>
                </c:pt>
                <c:pt idx="453">
                  <c:v>3.55</c:v>
                </c:pt>
                <c:pt idx="454">
                  <c:v>3.55</c:v>
                </c:pt>
                <c:pt idx="455">
                  <c:v>3.55</c:v>
                </c:pt>
                <c:pt idx="456">
                  <c:v>3.55</c:v>
                </c:pt>
                <c:pt idx="457">
                  <c:v>3.55</c:v>
                </c:pt>
                <c:pt idx="458">
                  <c:v>3.55</c:v>
                </c:pt>
                <c:pt idx="459">
                  <c:v>3.55</c:v>
                </c:pt>
                <c:pt idx="460">
                  <c:v>3.55</c:v>
                </c:pt>
                <c:pt idx="461">
                  <c:v>3.55</c:v>
                </c:pt>
                <c:pt idx="462">
                  <c:v>3.55</c:v>
                </c:pt>
                <c:pt idx="463">
                  <c:v>3.55</c:v>
                </c:pt>
                <c:pt idx="464">
                  <c:v>3.55</c:v>
                </c:pt>
                <c:pt idx="465">
                  <c:v>3.55</c:v>
                </c:pt>
                <c:pt idx="466">
                  <c:v>3.55</c:v>
                </c:pt>
                <c:pt idx="467">
                  <c:v>3.55</c:v>
                </c:pt>
                <c:pt idx="468">
                  <c:v>3.55</c:v>
                </c:pt>
                <c:pt idx="469">
                  <c:v>3.55</c:v>
                </c:pt>
                <c:pt idx="470">
                  <c:v>3.55</c:v>
                </c:pt>
                <c:pt idx="471">
                  <c:v>3.55</c:v>
                </c:pt>
                <c:pt idx="472">
                  <c:v>3.55</c:v>
                </c:pt>
                <c:pt idx="473">
                  <c:v>3.55</c:v>
                </c:pt>
                <c:pt idx="474">
                  <c:v>3.55</c:v>
                </c:pt>
                <c:pt idx="475">
                  <c:v>3.55</c:v>
                </c:pt>
                <c:pt idx="476">
                  <c:v>3.55</c:v>
                </c:pt>
                <c:pt idx="477">
                  <c:v>3.55</c:v>
                </c:pt>
                <c:pt idx="478">
                  <c:v>3.55</c:v>
                </c:pt>
                <c:pt idx="479">
                  <c:v>3.55</c:v>
                </c:pt>
                <c:pt idx="480">
                  <c:v>3.55</c:v>
                </c:pt>
                <c:pt idx="481">
                  <c:v>3.55</c:v>
                </c:pt>
                <c:pt idx="482">
                  <c:v>3.55</c:v>
                </c:pt>
                <c:pt idx="483">
                  <c:v>3.55</c:v>
                </c:pt>
                <c:pt idx="484">
                  <c:v>3.55</c:v>
                </c:pt>
                <c:pt idx="485">
                  <c:v>3.55</c:v>
                </c:pt>
                <c:pt idx="486">
                  <c:v>3.55</c:v>
                </c:pt>
                <c:pt idx="487">
                  <c:v>3.55</c:v>
                </c:pt>
                <c:pt idx="488">
                  <c:v>3.55</c:v>
                </c:pt>
                <c:pt idx="489">
                  <c:v>3.55</c:v>
                </c:pt>
                <c:pt idx="490">
                  <c:v>3.55</c:v>
                </c:pt>
                <c:pt idx="491">
                  <c:v>3.55</c:v>
                </c:pt>
                <c:pt idx="492">
                  <c:v>3.55</c:v>
                </c:pt>
                <c:pt idx="493">
                  <c:v>3.55</c:v>
                </c:pt>
                <c:pt idx="494">
                  <c:v>3.55</c:v>
                </c:pt>
                <c:pt idx="495">
                  <c:v>3.55</c:v>
                </c:pt>
                <c:pt idx="496">
                  <c:v>3.55</c:v>
                </c:pt>
                <c:pt idx="497">
                  <c:v>3.55</c:v>
                </c:pt>
                <c:pt idx="498">
                  <c:v>3.55</c:v>
                </c:pt>
                <c:pt idx="499">
                  <c:v>3.55</c:v>
                </c:pt>
                <c:pt idx="500">
                  <c:v>3.55</c:v>
                </c:pt>
                <c:pt idx="501">
                  <c:v>3.55</c:v>
                </c:pt>
                <c:pt idx="502">
                  <c:v>3.55</c:v>
                </c:pt>
                <c:pt idx="503">
                  <c:v>3.55</c:v>
                </c:pt>
                <c:pt idx="504">
                  <c:v>3.55</c:v>
                </c:pt>
                <c:pt idx="505">
                  <c:v>3.55</c:v>
                </c:pt>
                <c:pt idx="506">
                  <c:v>3.55</c:v>
                </c:pt>
                <c:pt idx="507">
                  <c:v>3.55</c:v>
                </c:pt>
                <c:pt idx="508">
                  <c:v>3.55</c:v>
                </c:pt>
                <c:pt idx="509">
                  <c:v>3.55</c:v>
                </c:pt>
                <c:pt idx="510">
                  <c:v>3.55</c:v>
                </c:pt>
                <c:pt idx="511">
                  <c:v>3.55</c:v>
                </c:pt>
                <c:pt idx="512">
                  <c:v>3.55</c:v>
                </c:pt>
                <c:pt idx="513">
                  <c:v>3.55</c:v>
                </c:pt>
                <c:pt idx="514">
                  <c:v>3.55</c:v>
                </c:pt>
                <c:pt idx="515">
                  <c:v>3.55</c:v>
                </c:pt>
                <c:pt idx="516">
                  <c:v>3.55</c:v>
                </c:pt>
                <c:pt idx="517">
                  <c:v>3.55</c:v>
                </c:pt>
                <c:pt idx="518">
                  <c:v>3.55</c:v>
                </c:pt>
                <c:pt idx="519">
                  <c:v>3.55</c:v>
                </c:pt>
                <c:pt idx="520">
                  <c:v>3.55</c:v>
                </c:pt>
                <c:pt idx="521">
                  <c:v>3.55</c:v>
                </c:pt>
                <c:pt idx="522">
                  <c:v>3.55</c:v>
                </c:pt>
                <c:pt idx="523">
                  <c:v>3.55</c:v>
                </c:pt>
                <c:pt idx="524">
                  <c:v>3.55</c:v>
                </c:pt>
                <c:pt idx="525">
                  <c:v>3.55</c:v>
                </c:pt>
                <c:pt idx="526">
                  <c:v>3.55</c:v>
                </c:pt>
                <c:pt idx="527">
                  <c:v>3.55</c:v>
                </c:pt>
                <c:pt idx="528">
                  <c:v>3.55</c:v>
                </c:pt>
                <c:pt idx="529">
                  <c:v>3.55</c:v>
                </c:pt>
                <c:pt idx="530">
                  <c:v>3.55</c:v>
                </c:pt>
                <c:pt idx="531">
                  <c:v>3.55</c:v>
                </c:pt>
                <c:pt idx="532">
                  <c:v>3.55</c:v>
                </c:pt>
                <c:pt idx="533">
                  <c:v>3.55</c:v>
                </c:pt>
                <c:pt idx="534">
                  <c:v>3.55</c:v>
                </c:pt>
                <c:pt idx="535">
                  <c:v>3.55</c:v>
                </c:pt>
                <c:pt idx="536">
                  <c:v>3.55</c:v>
                </c:pt>
                <c:pt idx="537">
                  <c:v>3.55</c:v>
                </c:pt>
                <c:pt idx="538">
                  <c:v>3.55</c:v>
                </c:pt>
                <c:pt idx="539">
                  <c:v>3.55</c:v>
                </c:pt>
                <c:pt idx="540">
                  <c:v>3.55</c:v>
                </c:pt>
                <c:pt idx="541">
                  <c:v>3.55</c:v>
                </c:pt>
                <c:pt idx="542">
                  <c:v>3.55</c:v>
                </c:pt>
                <c:pt idx="543">
                  <c:v>3.55</c:v>
                </c:pt>
                <c:pt idx="544">
                  <c:v>3.55</c:v>
                </c:pt>
                <c:pt idx="545">
                  <c:v>3.55</c:v>
                </c:pt>
                <c:pt idx="546">
                  <c:v>3.55</c:v>
                </c:pt>
                <c:pt idx="547">
                  <c:v>3.55</c:v>
                </c:pt>
                <c:pt idx="548">
                  <c:v>3.55</c:v>
                </c:pt>
                <c:pt idx="549">
                  <c:v>3.55</c:v>
                </c:pt>
                <c:pt idx="550">
                  <c:v>3.55</c:v>
                </c:pt>
                <c:pt idx="551">
                  <c:v>3.55</c:v>
                </c:pt>
                <c:pt idx="552">
                  <c:v>3.55</c:v>
                </c:pt>
                <c:pt idx="553">
                  <c:v>3.55</c:v>
                </c:pt>
                <c:pt idx="554">
                  <c:v>3.55</c:v>
                </c:pt>
                <c:pt idx="555">
                  <c:v>3.55</c:v>
                </c:pt>
                <c:pt idx="556">
                  <c:v>3.55</c:v>
                </c:pt>
                <c:pt idx="557">
                  <c:v>3.55</c:v>
                </c:pt>
                <c:pt idx="558">
                  <c:v>3.55</c:v>
                </c:pt>
                <c:pt idx="559">
                  <c:v>3.55</c:v>
                </c:pt>
                <c:pt idx="560">
                  <c:v>3.55</c:v>
                </c:pt>
                <c:pt idx="561">
                  <c:v>3.55</c:v>
                </c:pt>
                <c:pt idx="562">
                  <c:v>3.55</c:v>
                </c:pt>
                <c:pt idx="563">
                  <c:v>3.55</c:v>
                </c:pt>
                <c:pt idx="564">
                  <c:v>3.55</c:v>
                </c:pt>
                <c:pt idx="565">
                  <c:v>3.55</c:v>
                </c:pt>
                <c:pt idx="566">
                  <c:v>3.55</c:v>
                </c:pt>
                <c:pt idx="567">
                  <c:v>3.55</c:v>
                </c:pt>
                <c:pt idx="568">
                  <c:v>3.55</c:v>
                </c:pt>
                <c:pt idx="569">
                  <c:v>3.55</c:v>
                </c:pt>
                <c:pt idx="570">
                  <c:v>3.55</c:v>
                </c:pt>
                <c:pt idx="571">
                  <c:v>3.55</c:v>
                </c:pt>
                <c:pt idx="572">
                  <c:v>3.55</c:v>
                </c:pt>
                <c:pt idx="573">
                  <c:v>3.55</c:v>
                </c:pt>
                <c:pt idx="574">
                  <c:v>3.55</c:v>
                </c:pt>
                <c:pt idx="575">
                  <c:v>3.55</c:v>
                </c:pt>
                <c:pt idx="576">
                  <c:v>3.55</c:v>
                </c:pt>
                <c:pt idx="577">
                  <c:v>3.55</c:v>
                </c:pt>
                <c:pt idx="578">
                  <c:v>3.55</c:v>
                </c:pt>
                <c:pt idx="579">
                  <c:v>3.55</c:v>
                </c:pt>
                <c:pt idx="580">
                  <c:v>3.55</c:v>
                </c:pt>
                <c:pt idx="581">
                  <c:v>3.55</c:v>
                </c:pt>
                <c:pt idx="582">
                  <c:v>3.55</c:v>
                </c:pt>
                <c:pt idx="583">
                  <c:v>3.55</c:v>
                </c:pt>
                <c:pt idx="584">
                  <c:v>3.55</c:v>
                </c:pt>
                <c:pt idx="585">
                  <c:v>3.55</c:v>
                </c:pt>
                <c:pt idx="586">
                  <c:v>3.55</c:v>
                </c:pt>
                <c:pt idx="587">
                  <c:v>3.55</c:v>
                </c:pt>
                <c:pt idx="588">
                  <c:v>3.55</c:v>
                </c:pt>
                <c:pt idx="589">
                  <c:v>3.55</c:v>
                </c:pt>
                <c:pt idx="590">
                  <c:v>3.55</c:v>
                </c:pt>
                <c:pt idx="591">
                  <c:v>3.55</c:v>
                </c:pt>
                <c:pt idx="592">
                  <c:v>3.55</c:v>
                </c:pt>
                <c:pt idx="593">
                  <c:v>3.55</c:v>
                </c:pt>
                <c:pt idx="594">
                  <c:v>3.55</c:v>
                </c:pt>
                <c:pt idx="595">
                  <c:v>3.55</c:v>
                </c:pt>
                <c:pt idx="596">
                  <c:v>3.55</c:v>
                </c:pt>
                <c:pt idx="597">
                  <c:v>3.55</c:v>
                </c:pt>
                <c:pt idx="598">
                  <c:v>3.55</c:v>
                </c:pt>
                <c:pt idx="599">
                  <c:v>3.55</c:v>
                </c:pt>
                <c:pt idx="600">
                  <c:v>3.55</c:v>
                </c:pt>
                <c:pt idx="601">
                  <c:v>3.55</c:v>
                </c:pt>
                <c:pt idx="602">
                  <c:v>3.55</c:v>
                </c:pt>
                <c:pt idx="603">
                  <c:v>3.55</c:v>
                </c:pt>
                <c:pt idx="604">
                  <c:v>3.55</c:v>
                </c:pt>
                <c:pt idx="605">
                  <c:v>3.55</c:v>
                </c:pt>
                <c:pt idx="606">
                  <c:v>3.55</c:v>
                </c:pt>
                <c:pt idx="607">
                  <c:v>3.55</c:v>
                </c:pt>
                <c:pt idx="608">
                  <c:v>3.55</c:v>
                </c:pt>
                <c:pt idx="609">
                  <c:v>3.55</c:v>
                </c:pt>
                <c:pt idx="610">
                  <c:v>3.55</c:v>
                </c:pt>
                <c:pt idx="611">
                  <c:v>3.55</c:v>
                </c:pt>
                <c:pt idx="612">
                  <c:v>3.55</c:v>
                </c:pt>
                <c:pt idx="613">
                  <c:v>3.55</c:v>
                </c:pt>
                <c:pt idx="614">
                  <c:v>3.55</c:v>
                </c:pt>
                <c:pt idx="615">
                  <c:v>3.55</c:v>
                </c:pt>
                <c:pt idx="616">
                  <c:v>3.55</c:v>
                </c:pt>
                <c:pt idx="617">
                  <c:v>3.55</c:v>
                </c:pt>
                <c:pt idx="618">
                  <c:v>3.55</c:v>
                </c:pt>
              </c:numCache>
            </c:numRef>
          </c:xVal>
          <c:yVal>
            <c:numRef>
              <c:f>Current_limit!$O$23:$O$641</c:f>
              <c:numCache>
                <c:formatCode>0.000</c:formatCode>
                <c:ptCount val="619"/>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5.0000000000000009</c:v>
                </c:pt>
                <c:pt idx="27">
                  <c:v>5</c:v>
                </c:pt>
                <c:pt idx="28">
                  <c:v>5</c:v>
                </c:pt>
                <c:pt idx="29">
                  <c:v>5</c:v>
                </c:pt>
                <c:pt idx="30">
                  <c:v>5</c:v>
                </c:pt>
                <c:pt idx="31">
                  <c:v>5</c:v>
                </c:pt>
                <c:pt idx="32">
                  <c:v>5</c:v>
                </c:pt>
                <c:pt idx="33">
                  <c:v>5</c:v>
                </c:pt>
                <c:pt idx="34">
                  <c:v>5</c:v>
                </c:pt>
                <c:pt idx="35">
                  <c:v>4.9999999999999991</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4.9999999999999991</c:v>
                </c:pt>
                <c:pt idx="141">
                  <c:v>5.0000000000000009</c:v>
                </c:pt>
                <c:pt idx="142">
                  <c:v>5</c:v>
                </c:pt>
                <c:pt idx="143">
                  <c:v>5</c:v>
                </c:pt>
                <c:pt idx="144">
                  <c:v>5.0000000000000009</c:v>
                </c:pt>
                <c:pt idx="145">
                  <c:v>5</c:v>
                </c:pt>
                <c:pt idx="146">
                  <c:v>5</c:v>
                </c:pt>
                <c:pt idx="147">
                  <c:v>5</c:v>
                </c:pt>
                <c:pt idx="148">
                  <c:v>5</c:v>
                </c:pt>
                <c:pt idx="149">
                  <c:v>5</c:v>
                </c:pt>
                <c:pt idx="150">
                  <c:v>5</c:v>
                </c:pt>
                <c:pt idx="151">
                  <c:v>5</c:v>
                </c:pt>
                <c:pt idx="152">
                  <c:v>5</c:v>
                </c:pt>
                <c:pt idx="153">
                  <c:v>4.9999999999999991</c:v>
                </c:pt>
                <c:pt idx="154">
                  <c:v>4.9999999999999991</c:v>
                </c:pt>
                <c:pt idx="155">
                  <c:v>5</c:v>
                </c:pt>
                <c:pt idx="156">
                  <c:v>5</c:v>
                </c:pt>
                <c:pt idx="157">
                  <c:v>5</c:v>
                </c:pt>
                <c:pt idx="158">
                  <c:v>5</c:v>
                </c:pt>
                <c:pt idx="159">
                  <c:v>5</c:v>
                </c:pt>
                <c:pt idx="160">
                  <c:v>5</c:v>
                </c:pt>
                <c:pt idx="161">
                  <c:v>5</c:v>
                </c:pt>
                <c:pt idx="162">
                  <c:v>4.9999999999999991</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4.9859550561798205</c:v>
                </c:pt>
                <c:pt idx="275">
                  <c:v>4.9719887955182527</c:v>
                </c:pt>
                <c:pt idx="276">
                  <c:v>4.9581005586592628</c:v>
                </c:pt>
                <c:pt idx="277">
                  <c:v>4.94428969359336</c:v>
                </c:pt>
                <c:pt idx="278">
                  <c:v>4.9305555555556007</c:v>
                </c:pt>
                <c:pt idx="279">
                  <c:v>4.9168975069252525</c:v>
                </c:pt>
                <c:pt idx="280">
                  <c:v>4.9033149171271173</c:v>
                </c:pt>
                <c:pt idx="281">
                  <c:v>4.8898071625344803</c:v>
                </c:pt>
                <c:pt idx="282">
                  <c:v>4.8763736263736721</c:v>
                </c:pt>
                <c:pt idx="283">
                  <c:v>4.8630136986301826</c:v>
                </c:pt>
                <c:pt idx="284">
                  <c:v>4.8497267759563298</c:v>
                </c:pt>
                <c:pt idx="285">
                  <c:v>4.8365122615804266</c:v>
                </c:pt>
                <c:pt idx="286">
                  <c:v>4.8233695652174369</c:v>
                </c:pt>
                <c:pt idx="287">
                  <c:v>4.8102981029810756</c:v>
                </c:pt>
                <c:pt idx="288">
                  <c:v>4.7972972972973427</c:v>
                </c:pt>
                <c:pt idx="289">
                  <c:v>4.7843665768194521</c:v>
                </c:pt>
                <c:pt idx="290">
                  <c:v>4.7715053763441322</c:v>
                </c:pt>
                <c:pt idx="291">
                  <c:v>4.7587131367292681</c:v>
                </c:pt>
                <c:pt idx="292">
                  <c:v>4.7459893048128796</c:v>
                </c:pt>
                <c:pt idx="293">
                  <c:v>4.7333333333333796</c:v>
                </c:pt>
                <c:pt idx="294">
                  <c:v>4.7207446808511095</c:v>
                </c:pt>
                <c:pt idx="295">
                  <c:v>4.7082228116711331</c:v>
                </c:pt>
                <c:pt idx="296">
                  <c:v>4.6957671957672416</c:v>
                </c:pt>
                <c:pt idx="297">
                  <c:v>4.6833773087071702</c:v>
                </c:pt>
                <c:pt idx="298">
                  <c:v>4.6710526315789931</c:v>
                </c:pt>
                <c:pt idx="299">
                  <c:v>4.6587926509186808</c:v>
                </c:pt>
                <c:pt idx="300">
                  <c:v>4.6465968586387891</c:v>
                </c:pt>
                <c:pt idx="301">
                  <c:v>4.6344647519582702</c:v>
                </c:pt>
                <c:pt idx="302">
                  <c:v>4.6223958333333792</c:v>
                </c:pt>
                <c:pt idx="303">
                  <c:v>4.6103896103896567</c:v>
                </c:pt>
                <c:pt idx="304">
                  <c:v>4.5984455958549679</c:v>
                </c:pt>
                <c:pt idx="305">
                  <c:v>4.5865633074935861</c:v>
                </c:pt>
                <c:pt idx="306">
                  <c:v>4.574742268041283</c:v>
                </c:pt>
                <c:pt idx="307">
                  <c:v>4.5629820051414338</c:v>
                </c:pt>
                <c:pt idx="308">
                  <c:v>4.5512820512820973</c:v>
                </c:pt>
                <c:pt idx="309">
                  <c:v>4.539641943734062</c:v>
                </c:pt>
                <c:pt idx="310">
                  <c:v>4.5280612244898419</c:v>
                </c:pt>
                <c:pt idx="311">
                  <c:v>4.5165394402036076</c:v>
                </c:pt>
                <c:pt idx="312">
                  <c:v>4.505076142132026</c:v>
                </c:pt>
                <c:pt idx="313">
                  <c:v>4.4936708860759955</c:v>
                </c:pt>
                <c:pt idx="314">
                  <c:v>4.482323232323278</c:v>
                </c:pt>
                <c:pt idx="315">
                  <c:v>4.4710327455919856</c:v>
                </c:pt>
                <c:pt idx="316">
                  <c:v>4.4597989949749204</c:v>
                </c:pt>
                <c:pt idx="317">
                  <c:v>4.4486215538847578</c:v>
                </c:pt>
                <c:pt idx="318">
                  <c:v>4.4375000000000462</c:v>
                </c:pt>
                <c:pt idx="319">
                  <c:v>4.4264339152120167</c:v>
                </c:pt>
                <c:pt idx="320">
                  <c:v>4.4154228855721849</c:v>
                </c:pt>
                <c:pt idx="321">
                  <c:v>4.4044665012407407</c:v>
                </c:pt>
                <c:pt idx="322">
                  <c:v>4.3935643564356894</c:v>
                </c:pt>
                <c:pt idx="323">
                  <c:v>4.3827160493827622</c:v>
                </c:pt>
                <c:pt idx="324">
                  <c:v>4.371921182266056</c:v>
                </c:pt>
                <c:pt idx="325">
                  <c:v>4.3611793611794072</c:v>
                </c:pt>
                <c:pt idx="326">
                  <c:v>4.3504901960784768</c:v>
                </c:pt>
                <c:pt idx="327">
                  <c:v>4.3398533007335418</c:v>
                </c:pt>
                <c:pt idx="328">
                  <c:v>4.3292682926829729</c:v>
                </c:pt>
                <c:pt idx="329">
                  <c:v>4.3187347931873941</c:v>
                </c:pt>
                <c:pt idx="330">
                  <c:v>4.3082524271845122</c:v>
                </c:pt>
                <c:pt idx="331">
                  <c:v>4.2978208232445985</c:v>
                </c:pt>
                <c:pt idx="332">
                  <c:v>4.2874396135266162</c:v>
                </c:pt>
                <c:pt idx="333">
                  <c:v>4.2771084337349858</c:v>
                </c:pt>
                <c:pt idx="334">
                  <c:v>4.2668269230769695</c:v>
                </c:pt>
                <c:pt idx="335">
                  <c:v>4.256594724220669</c:v>
                </c:pt>
                <c:pt idx="336">
                  <c:v>4.2464114832536346</c:v>
                </c:pt>
                <c:pt idx="337">
                  <c:v>4.2362768496420511</c:v>
                </c:pt>
                <c:pt idx="338">
                  <c:v>4.2261904761905225</c:v>
                </c:pt>
                <c:pt idx="339">
                  <c:v>4.2161520190024211</c:v>
                </c:pt>
                <c:pt idx="340">
                  <c:v>4.2061611374408043</c:v>
                </c:pt>
                <c:pt idx="341">
                  <c:v>4.1962174940898809</c:v>
                </c:pt>
                <c:pt idx="342">
                  <c:v>4.1863207547170269</c:v>
                </c:pt>
                <c:pt idx="343">
                  <c:v>4.1764705882353406</c:v>
                </c:pt>
                <c:pt idx="344">
                  <c:v>4.1666666666667123</c:v>
                </c:pt>
                <c:pt idx="345">
                  <c:v>4.1569086651054326</c:v>
                </c:pt>
                <c:pt idx="346">
                  <c:v>4.1471962616822893</c:v>
                </c:pt>
                <c:pt idx="347">
                  <c:v>4.1375291375291834</c:v>
                </c:pt>
                <c:pt idx="348">
                  <c:v>4.1279069767442316</c:v>
                </c:pt>
                <c:pt idx="349">
                  <c:v>4.1183294663573546</c:v>
                </c:pt>
                <c:pt idx="350">
                  <c:v>4.108796296296342</c:v>
                </c:pt>
                <c:pt idx="351">
                  <c:v>4.099307159353395</c:v>
                </c:pt>
                <c:pt idx="352">
                  <c:v>4.08986175115212</c:v>
                </c:pt>
                <c:pt idx="353">
                  <c:v>4.0804597701149889</c:v>
                </c:pt>
                <c:pt idx="354">
                  <c:v>4.0711009174312389</c:v>
                </c:pt>
                <c:pt idx="355">
                  <c:v>4.0617848970252171</c:v>
                </c:pt>
                <c:pt idx="356">
                  <c:v>4.05251141552516</c:v>
                </c:pt>
                <c:pt idx="357">
                  <c:v>4.0432801822323921</c:v>
                </c:pt>
                <c:pt idx="358">
                  <c:v>4.0340909090909554</c:v>
                </c:pt>
                <c:pt idx="359">
                  <c:v>4.0249433106576422</c:v>
                </c:pt>
                <c:pt idx="360">
                  <c:v>4.0158371040724443</c:v>
                </c:pt>
                <c:pt idx="361">
                  <c:v>4.0067720090293912</c:v>
                </c:pt>
                <c:pt idx="362">
                  <c:v>3.9977477477477934</c:v>
                </c:pt>
                <c:pt idx="363">
                  <c:v>3.9887640449438662</c:v>
                </c:pt>
                <c:pt idx="364">
                  <c:v>3.9798206278027366</c:v>
                </c:pt>
                <c:pt idx="365">
                  <c:v>3.9709172259508287</c:v>
                </c:pt>
                <c:pt idx="366">
                  <c:v>3.9620535714286169</c:v>
                </c:pt>
                <c:pt idx="367">
                  <c:v>3.9532293986637423</c:v>
                </c:pt>
                <c:pt idx="368">
                  <c:v>3.9444444444444899</c:v>
                </c:pt>
                <c:pt idx="369">
                  <c:v>3.9356984478936154</c:v>
                </c:pt>
                <c:pt idx="370">
                  <c:v>3.926991150442523</c:v>
                </c:pt>
                <c:pt idx="371">
                  <c:v>3.9183222958057855</c:v>
                </c:pt>
                <c:pt idx="372">
                  <c:v>3.9096916299559932</c:v>
                </c:pt>
                <c:pt idx="373">
                  <c:v>3.9010989010989467</c:v>
                </c:pt>
                <c:pt idx="374">
                  <c:v>3.8925438596491686</c:v>
                </c:pt>
                <c:pt idx="375">
                  <c:v>3.8840262582057354</c:v>
                </c:pt>
                <c:pt idx="376">
                  <c:v>3.8755458515284302</c:v>
                </c:pt>
                <c:pt idx="377">
                  <c:v>3.8671023965142068</c:v>
                </c:pt>
                <c:pt idx="378">
                  <c:v>3.8586956521739584</c:v>
                </c:pt>
                <c:pt idx="379">
                  <c:v>3.8503253796095902</c:v>
                </c:pt>
                <c:pt idx="380">
                  <c:v>3.8419913419913874</c:v>
                </c:pt>
                <c:pt idx="381">
                  <c:v>3.8336933045356822</c:v>
                </c:pt>
                <c:pt idx="382">
                  <c:v>3.8254310344828037</c:v>
                </c:pt>
                <c:pt idx="383">
                  <c:v>3.8172043010753143</c:v>
                </c:pt>
                <c:pt idx="384">
                  <c:v>3.809012875536526</c:v>
                </c:pt>
                <c:pt idx="385">
                  <c:v>3.8008565310492957</c:v>
                </c:pt>
                <c:pt idx="386">
                  <c:v>3.7927350427350883</c:v>
                </c:pt>
                <c:pt idx="387">
                  <c:v>3.7846481876333078</c:v>
                </c:pt>
                <c:pt idx="388">
                  <c:v>3.7765957446808964</c:v>
                </c:pt>
                <c:pt idx="389">
                  <c:v>3.7685774946921899</c:v>
                </c:pt>
                <c:pt idx="390">
                  <c:v>3.760593220339028</c:v>
                </c:pt>
                <c:pt idx="391">
                  <c:v>3.7526427061311236</c:v>
                </c:pt>
                <c:pt idx="392">
                  <c:v>3.7447257383966699</c:v>
                </c:pt>
                <c:pt idx="393">
                  <c:v>3.7368421052632033</c:v>
                </c:pt>
                <c:pt idx="394">
                  <c:v>3.7289915966387004</c:v>
                </c:pt>
                <c:pt idx="395">
                  <c:v>3.7211740041929171</c:v>
                </c:pt>
                <c:pt idx="396">
                  <c:v>3.7133891213389574</c:v>
                </c:pt>
                <c:pt idx="397">
                  <c:v>3.7056367432150763</c:v>
                </c:pt>
                <c:pt idx="398">
                  <c:v>3.6979166666667118</c:v>
                </c:pt>
                <c:pt idx="399">
                  <c:v>3.6902286902287353</c:v>
                </c:pt>
                <c:pt idx="400">
                  <c:v>3.6825726141079289</c:v>
                </c:pt>
                <c:pt idx="401">
                  <c:v>3.6749482401656763</c:v>
                </c:pt>
                <c:pt idx="402">
                  <c:v>3.6673553719008716</c:v>
                </c:pt>
                <c:pt idx="403">
                  <c:v>3.6597938144330349</c:v>
                </c:pt>
                <c:pt idx="404">
                  <c:v>3.6522633744856412</c:v>
                </c:pt>
                <c:pt idx="405">
                  <c:v>3.6447638603696548</c:v>
                </c:pt>
                <c:pt idx="406">
                  <c:v>3.6372950819672583</c:v>
                </c:pt>
                <c:pt idx="407">
                  <c:v>3.6298568507157913</c:v>
                </c:pt>
                <c:pt idx="408">
                  <c:v>3.6224489795918817</c:v>
                </c:pt>
                <c:pt idx="409">
                  <c:v>3.6150712830957676</c:v>
                </c:pt>
                <c:pt idx="410">
                  <c:v>3.6077235772358174</c:v>
                </c:pt>
                <c:pt idx="411">
                  <c:v>3.6004056795132295</c:v>
                </c:pt>
                <c:pt idx="412">
                  <c:v>3.5931174089069273</c:v>
                </c:pt>
                <c:pt idx="413">
                  <c:v>3.5858585858586309</c:v>
                </c:pt>
                <c:pt idx="414">
                  <c:v>3.5786290322581094</c:v>
                </c:pt>
                <c:pt idx="415">
                  <c:v>3.571428571428616</c:v>
                </c:pt>
                <c:pt idx="416">
                  <c:v>3.5642570281124946</c:v>
                </c:pt>
                <c:pt idx="417">
                  <c:v>3.5571142284569581</c:v>
                </c:pt>
                <c:pt idx="418">
                  <c:v>3.5500000000000447</c:v>
                </c:pt>
                <c:pt idx="419">
                  <c:v>3.5429141716567312</c:v>
                </c:pt>
                <c:pt idx="420">
                  <c:v>3.5358565737052237</c:v>
                </c:pt>
                <c:pt idx="421">
                  <c:v>3.5288270377734041</c:v>
                </c:pt>
                <c:pt idx="422">
                  <c:v>3.5218253968254412</c:v>
                </c:pt>
                <c:pt idx="423">
                  <c:v>3.5148514851485593</c:v>
                </c:pt>
                <c:pt idx="424">
                  <c:v>3.5079051383399658</c:v>
                </c:pt>
                <c:pt idx="425">
                  <c:v>3.5009861932939299</c:v>
                </c:pt>
                <c:pt idx="426">
                  <c:v>3.4940944881890208</c:v>
                </c:pt>
                <c:pt idx="427">
                  <c:v>3.4872298624754863</c:v>
                </c:pt>
                <c:pt idx="428">
                  <c:v>3.4803921568627891</c:v>
                </c:pt>
                <c:pt idx="429">
                  <c:v>3.473581213307285</c:v>
                </c:pt>
                <c:pt idx="430">
                  <c:v>3.4667968750000444</c:v>
                </c:pt>
                <c:pt idx="431">
                  <c:v>3.46003898635482</c:v>
                </c:pt>
                <c:pt idx="432">
                  <c:v>3.4533073929961531</c:v>
                </c:pt>
                <c:pt idx="433">
                  <c:v>3.446601941747617</c:v>
                </c:pt>
                <c:pt idx="434">
                  <c:v>3.4399224806201993</c:v>
                </c:pt>
                <c:pt idx="435">
                  <c:v>3.433268858800818</c:v>
                </c:pt>
                <c:pt idx="436">
                  <c:v>3.426640926640971</c:v>
                </c:pt>
                <c:pt idx="437">
                  <c:v>3.4200385356455159</c:v>
                </c:pt>
                <c:pt idx="438">
                  <c:v>3.4134615384615827</c:v>
                </c:pt>
                <c:pt idx="439">
                  <c:v>3.4069097888676065</c:v>
                </c:pt>
                <c:pt idx="440">
                  <c:v>3.4003831417624961</c:v>
                </c:pt>
                <c:pt idx="441">
                  <c:v>3.3938814531549193</c:v>
                </c:pt>
                <c:pt idx="442">
                  <c:v>3.3874045801527157</c:v>
                </c:pt>
                <c:pt idx="443">
                  <c:v>3.3809523809524249</c:v>
                </c:pt>
                <c:pt idx="444">
                  <c:v>3.374524714828941</c:v>
                </c:pt>
                <c:pt idx="445">
                  <c:v>3.3681214421252812</c:v>
                </c:pt>
                <c:pt idx="446">
                  <c:v>3.3617424242424678</c:v>
                </c:pt>
                <c:pt idx="447">
                  <c:v>3.3553875236295334</c:v>
                </c:pt>
                <c:pt idx="448">
                  <c:v>3.3490566037736285</c:v>
                </c:pt>
                <c:pt idx="449">
                  <c:v>3.3427495291902511</c:v>
                </c:pt>
                <c:pt idx="450">
                  <c:v>3.3364661654135772</c:v>
                </c:pt>
                <c:pt idx="451">
                  <c:v>3.3302063789869103</c:v>
                </c:pt>
                <c:pt idx="452">
                  <c:v>3.3239700374532268</c:v>
                </c:pt>
                <c:pt idx="453">
                  <c:v>3.3177570093458382</c:v>
                </c:pt>
                <c:pt idx="454">
                  <c:v>3.3115671641791482</c:v>
                </c:pt>
                <c:pt idx="455">
                  <c:v>3.3054003724395224</c:v>
                </c:pt>
                <c:pt idx="456">
                  <c:v>3.2992565055762517</c:v>
                </c:pt>
                <c:pt idx="457">
                  <c:v>3.2931354359926224</c:v>
                </c:pt>
                <c:pt idx="458">
                  <c:v>3.2870370370370807</c:v>
                </c:pt>
                <c:pt idx="459">
                  <c:v>3.2809611829944982</c:v>
                </c:pt>
                <c:pt idx="460">
                  <c:v>3.274907749077534</c:v>
                </c:pt>
                <c:pt idx="461">
                  <c:v>3.2688766114180909</c:v>
                </c:pt>
                <c:pt idx="462">
                  <c:v>3.2628676470588669</c:v>
                </c:pt>
                <c:pt idx="463">
                  <c:v>3.2568807339449974</c:v>
                </c:pt>
                <c:pt idx="464">
                  <c:v>3.250915750915794</c:v>
                </c:pt>
                <c:pt idx="465">
                  <c:v>3.2449725776965699</c:v>
                </c:pt>
                <c:pt idx="466">
                  <c:v>3.239051094890554</c:v>
                </c:pt>
                <c:pt idx="467">
                  <c:v>3.2331511839708993</c:v>
                </c:pt>
                <c:pt idx="468">
                  <c:v>3.2272727272727701</c:v>
                </c:pt>
                <c:pt idx="469">
                  <c:v>3.2214156079855241</c:v>
                </c:pt>
                <c:pt idx="470">
                  <c:v>3.2155797101449703</c:v>
                </c:pt>
                <c:pt idx="471">
                  <c:v>3.2097649186257211</c:v>
                </c:pt>
                <c:pt idx="472">
                  <c:v>3.2039711191336169</c:v>
                </c:pt>
                <c:pt idx="473">
                  <c:v>3.198198198198241</c:v>
                </c:pt>
                <c:pt idx="474">
                  <c:v>3.1924460431655106</c:v>
                </c:pt>
                <c:pt idx="475">
                  <c:v>3.186714542190348</c:v>
                </c:pt>
                <c:pt idx="476">
                  <c:v>3.1810035842294337</c:v>
                </c:pt>
                <c:pt idx="477">
                  <c:v>3.1753130590340319</c:v>
                </c:pt>
                <c:pt idx="478">
                  <c:v>3.1696428571429003</c:v>
                </c:pt>
                <c:pt idx="479">
                  <c:v>3.1639928698752655</c:v>
                </c:pt>
                <c:pt idx="480">
                  <c:v>3.1583629893238863</c:v>
                </c:pt>
                <c:pt idx="481">
                  <c:v>3.1527531083481777</c:v>
                </c:pt>
                <c:pt idx="482">
                  <c:v>3.1471631205674186</c:v>
                </c:pt>
                <c:pt idx="483">
                  <c:v>3.1415929203540247</c:v>
                </c:pt>
                <c:pt idx="484">
                  <c:v>3.1360424028268978</c:v>
                </c:pt>
                <c:pt idx="485">
                  <c:v>3.1305114638448397</c:v>
                </c:pt>
                <c:pt idx="486">
                  <c:v>3.1250000000000426</c:v>
                </c:pt>
                <c:pt idx="487">
                  <c:v>3.1195079086116415</c:v>
                </c:pt>
                <c:pt idx="488">
                  <c:v>3.114035087719341</c:v>
                </c:pt>
                <c:pt idx="489">
                  <c:v>3.1085814360771002</c:v>
                </c:pt>
                <c:pt idx="490">
                  <c:v>3.1031468531468955</c:v>
                </c:pt>
                <c:pt idx="491">
                  <c:v>3.0977312390925382</c:v>
                </c:pt>
                <c:pt idx="492">
                  <c:v>3.0923344947735614</c:v>
                </c:pt>
                <c:pt idx="493">
                  <c:v>3.0869565217391726</c:v>
                </c:pt>
                <c:pt idx="494">
                  <c:v>3.0815972222222645</c:v>
                </c:pt>
                <c:pt idx="495">
                  <c:v>3.0762564991334909</c:v>
                </c:pt>
                <c:pt idx="496">
                  <c:v>3.0709342560554056</c:v>
                </c:pt>
                <c:pt idx="497">
                  <c:v>3.065630397236657</c:v>
                </c:pt>
                <c:pt idx="498">
                  <c:v>3.060344827586249</c:v>
                </c:pt>
                <c:pt idx="499">
                  <c:v>3.0550774526678564</c:v>
                </c:pt>
                <c:pt idx="500">
                  <c:v>3.0498281786942001</c:v>
                </c:pt>
                <c:pt idx="501">
                  <c:v>3.0445969125214827</c:v>
                </c:pt>
                <c:pt idx="502">
                  <c:v>3.0393835616438776</c:v>
                </c:pt>
                <c:pt idx="503">
                  <c:v>3.0341880341880763</c:v>
                </c:pt>
                <c:pt idx="504">
                  <c:v>3.0290102389078917</c:v>
                </c:pt>
                <c:pt idx="505">
                  <c:v>3.0238500851789176</c:v>
                </c:pt>
                <c:pt idx="506">
                  <c:v>3.0187074829932392</c:v>
                </c:pt>
                <c:pt idx="507">
                  <c:v>3.0135823429542015</c:v>
                </c:pt>
                <c:pt idx="508">
                  <c:v>3.0084745762712282</c:v>
                </c:pt>
                <c:pt idx="509">
                  <c:v>3.0033840947546948</c:v>
                </c:pt>
                <c:pt idx="510">
                  <c:v>2.9983108108108527</c:v>
                </c:pt>
                <c:pt idx="511">
                  <c:v>2.9932546374368036</c:v>
                </c:pt>
                <c:pt idx="512">
                  <c:v>2.9882154882155301</c:v>
                </c:pt>
                <c:pt idx="513">
                  <c:v>2.9831932773109662</c:v>
                </c:pt>
                <c:pt idx="514">
                  <c:v>2.9781879194631289</c:v>
                </c:pt>
                <c:pt idx="515">
                  <c:v>2.9731993299832911</c:v>
                </c:pt>
                <c:pt idx="516">
                  <c:v>2.9682274247492053</c:v>
                </c:pt>
                <c:pt idx="517">
                  <c:v>2.9632721202003753</c:v>
                </c:pt>
                <c:pt idx="518">
                  <c:v>2.9583333333333748</c:v>
                </c:pt>
                <c:pt idx="519">
                  <c:v>2.9534109816972127</c:v>
                </c:pt>
                <c:pt idx="520">
                  <c:v>2.9485049833887453</c:v>
                </c:pt>
                <c:pt idx="521">
                  <c:v>2.9436152570481342</c:v>
                </c:pt>
                <c:pt idx="522">
                  <c:v>2.9387417218543459</c:v>
                </c:pt>
                <c:pt idx="523">
                  <c:v>2.9338842975207027</c:v>
                </c:pt>
                <c:pt idx="524">
                  <c:v>2.9290429042904704</c:v>
                </c:pt>
                <c:pt idx="525">
                  <c:v>2.924217462932496</c:v>
                </c:pt>
                <c:pt idx="526">
                  <c:v>2.9194078947368833</c:v>
                </c:pt>
                <c:pt idx="527">
                  <c:v>2.9146141215107146</c:v>
                </c:pt>
                <c:pt idx="528">
                  <c:v>2.909836065573812</c:v>
                </c:pt>
                <c:pt idx="529">
                  <c:v>2.905073649754542</c:v>
                </c:pt>
                <c:pt idx="530">
                  <c:v>2.9003267973856621</c:v>
                </c:pt>
                <c:pt idx="531">
                  <c:v>2.8955954323002042</c:v>
                </c:pt>
                <c:pt idx="532">
                  <c:v>2.8908794788274026</c:v>
                </c:pt>
                <c:pt idx="533">
                  <c:v>2.8861788617886588</c:v>
                </c:pt>
                <c:pt idx="534">
                  <c:v>2.8814935064935474</c:v>
                </c:pt>
                <c:pt idx="535">
                  <c:v>2.8768233387358593</c:v>
                </c:pt>
                <c:pt idx="536">
                  <c:v>2.872168284789685</c:v>
                </c:pt>
                <c:pt idx="537">
                  <c:v>2.8675282714055332</c:v>
                </c:pt>
                <c:pt idx="538">
                  <c:v>2.8629032258064924</c:v>
                </c:pt>
                <c:pt idx="539">
                  <c:v>2.8582930756844211</c:v>
                </c:pt>
                <c:pt idx="540">
                  <c:v>2.8536977491961824</c:v>
                </c:pt>
                <c:pt idx="541">
                  <c:v>2.849117174959912</c:v>
                </c:pt>
                <c:pt idx="542">
                  <c:v>2.8445512820513228</c:v>
                </c:pt>
                <c:pt idx="543">
                  <c:v>2.8400000000000407</c:v>
                </c:pt>
                <c:pt idx="544">
                  <c:v>2.8354632587859832</c:v>
                </c:pt>
                <c:pt idx="545">
                  <c:v>2.8309409888357662</c:v>
                </c:pt>
                <c:pt idx="546">
                  <c:v>2.8264331210191487</c:v>
                </c:pt>
                <c:pt idx="547">
                  <c:v>2.8219395866455095</c:v>
                </c:pt>
                <c:pt idx="548">
                  <c:v>2.8174603174603576</c:v>
                </c:pt>
                <c:pt idx="549">
                  <c:v>2.8129952456418787</c:v>
                </c:pt>
                <c:pt idx="550">
                  <c:v>2.8085443037975089</c:v>
                </c:pt>
                <c:pt idx="551">
                  <c:v>2.804107424960546</c:v>
                </c:pt>
                <c:pt idx="552">
                  <c:v>2.7996845425867911</c:v>
                </c:pt>
                <c:pt idx="553">
                  <c:v>2.7952755905512214</c:v>
                </c:pt>
                <c:pt idx="554">
                  <c:v>2.7908805031446944</c:v>
                </c:pt>
                <c:pt idx="555">
                  <c:v>2.786499215070684</c:v>
                </c:pt>
                <c:pt idx="556">
                  <c:v>2.7821316614420462</c:v>
                </c:pt>
                <c:pt idx="557">
                  <c:v>2.7777777777778181</c:v>
                </c:pt>
                <c:pt idx="558">
                  <c:v>2.77343750000004</c:v>
                </c:pt>
                <c:pt idx="559">
                  <c:v>2.7691107644306174</c:v>
                </c:pt>
                <c:pt idx="560">
                  <c:v>2.7647975077882019</c:v>
                </c:pt>
                <c:pt idx="561">
                  <c:v>2.7604976671851098</c:v>
                </c:pt>
                <c:pt idx="562">
                  <c:v>2.7562111801242639</c:v>
                </c:pt>
                <c:pt idx="563">
                  <c:v>2.751937984496164</c:v>
                </c:pt>
                <c:pt idx="564">
                  <c:v>2.7476780185758911</c:v>
                </c:pt>
                <c:pt idx="565">
                  <c:v>2.7434312210201326</c:v>
                </c:pt>
                <c:pt idx="566">
                  <c:v>2.7391975308642373</c:v>
                </c:pt>
                <c:pt idx="567">
                  <c:v>2.7349768875193003</c:v>
                </c:pt>
                <c:pt idx="568">
                  <c:v>2.7307692307692708</c:v>
                </c:pt>
                <c:pt idx="569">
                  <c:v>2.726574500768089</c:v>
                </c:pt>
                <c:pt idx="570">
                  <c:v>2.7223926380368497</c:v>
                </c:pt>
                <c:pt idx="571">
                  <c:v>2.7182235834609894</c:v>
                </c:pt>
                <c:pt idx="572">
                  <c:v>2.7140672782875015</c:v>
                </c:pt>
                <c:pt idx="573">
                  <c:v>2.7099236641221767</c:v>
                </c:pt>
                <c:pt idx="574">
                  <c:v>2.705792682926869</c:v>
                </c:pt>
                <c:pt idx="575">
                  <c:v>2.7016742770167821</c:v>
                </c:pt>
                <c:pt idx="576">
                  <c:v>2.6975683890577904</c:v>
                </c:pt>
                <c:pt idx="577">
                  <c:v>2.6934749620637723</c:v>
                </c:pt>
                <c:pt idx="578">
                  <c:v>2.689393939393979</c:v>
                </c:pt>
                <c:pt idx="579">
                  <c:v>2.6853252647504178</c:v>
                </c:pt>
                <c:pt idx="580">
                  <c:v>2.6812688821752659</c:v>
                </c:pt>
                <c:pt idx="581">
                  <c:v>2.6772247360483048</c:v>
                </c:pt>
                <c:pt idx="582">
                  <c:v>2.6731927710843766</c:v>
                </c:pt>
                <c:pt idx="583">
                  <c:v>2.6691729323308664</c:v>
                </c:pt>
                <c:pt idx="584">
                  <c:v>2.6651651651652042</c:v>
                </c:pt>
                <c:pt idx="585">
                  <c:v>2.661169415292393</c:v>
                </c:pt>
                <c:pt idx="586">
                  <c:v>2.6571856287425542</c:v>
                </c:pt>
                <c:pt idx="587">
                  <c:v>2.6532137518684995</c:v>
                </c:pt>
                <c:pt idx="588">
                  <c:v>2.6492537313433226</c:v>
                </c:pt>
                <c:pt idx="589">
                  <c:v>2.6453055141580122</c:v>
                </c:pt>
                <c:pt idx="590">
                  <c:v>2.6413690476190865</c:v>
                </c:pt>
                <c:pt idx="591">
                  <c:v>2.63744427934625</c:v>
                </c:pt>
                <c:pt idx="592">
                  <c:v>2.633531157270069</c:v>
                </c:pt>
                <c:pt idx="593">
                  <c:v>2.6296296296296688</c:v>
                </c:pt>
                <c:pt idx="594">
                  <c:v>2.6257396449704533</c:v>
                </c:pt>
                <c:pt idx="595">
                  <c:v>2.6218611521418409</c:v>
                </c:pt>
                <c:pt idx="596">
                  <c:v>2.6179941002950242</c:v>
                </c:pt>
                <c:pt idx="597">
                  <c:v>2.6141384388807456</c:v>
                </c:pt>
                <c:pt idx="598">
                  <c:v>2.6102941176470975</c:v>
                </c:pt>
                <c:pt idx="599">
                  <c:v>2.6064610866373368</c:v>
                </c:pt>
                <c:pt idx="600">
                  <c:v>2.6026392961877218</c:v>
                </c:pt>
                <c:pt idx="601">
                  <c:v>2.5988286969253678</c:v>
                </c:pt>
                <c:pt idx="602">
                  <c:v>2.5950292397661205</c:v>
                </c:pt>
                <c:pt idx="603">
                  <c:v>2.5912408759124474</c:v>
                </c:pt>
                <c:pt idx="604">
                  <c:v>2.5874635568513509</c:v>
                </c:pt>
                <c:pt idx="605">
                  <c:v>2.5836972343522948</c:v>
                </c:pt>
                <c:pt idx="606">
                  <c:v>2.5799418604651545</c:v>
                </c:pt>
                <c:pt idx="607">
                  <c:v>2.5761973875181807</c:v>
                </c:pt>
                <c:pt idx="608">
                  <c:v>2.5724637681159805</c:v>
                </c:pt>
                <c:pt idx="609">
                  <c:v>2.5687409551375202</c:v>
                </c:pt>
                <c:pt idx="610">
                  <c:v>2.5650289017341428</c:v>
                </c:pt>
                <c:pt idx="611">
                  <c:v>2.5613275613275994</c:v>
                </c:pt>
                <c:pt idx="612">
                  <c:v>2.5576368876081075</c:v>
                </c:pt>
                <c:pt idx="613">
                  <c:v>2.5539568345324124</c:v>
                </c:pt>
                <c:pt idx="614">
                  <c:v>2.5502873563218773</c:v>
                </c:pt>
                <c:pt idx="615">
                  <c:v>2.5466284074605836</c:v>
                </c:pt>
                <c:pt idx="616">
                  <c:v>2.5429799426934481</c:v>
                </c:pt>
                <c:pt idx="617">
                  <c:v>2.5393419170243585</c:v>
                </c:pt>
                <c:pt idx="618">
                  <c:v>2.5357142857143238</c:v>
                </c:pt>
              </c:numCache>
            </c:numRef>
          </c:yVal>
          <c:smooth val="0"/>
          <c:extLst>
            <c:ext xmlns:c16="http://schemas.microsoft.com/office/drawing/2014/chart" uri="{C3380CC4-5D6E-409C-BE32-E72D297353CC}">
              <c16:uniqueId val="{00000001-C3FC-4587-B5AF-E56D0666A3CE}"/>
            </c:ext>
          </c:extLst>
        </c:ser>
        <c:dLbls>
          <c:showLegendKey val="0"/>
          <c:showVal val="0"/>
          <c:showCatName val="0"/>
          <c:showSerName val="0"/>
          <c:showPercent val="0"/>
          <c:showBubbleSize val="0"/>
        </c:dLbls>
        <c:axId val="161920128"/>
        <c:axId val="161914240"/>
      </c:scatterChart>
      <c:valAx>
        <c:axId val="161911168"/>
        <c:scaling>
          <c:orientation val="minMax"/>
        </c:scaling>
        <c:delete val="0"/>
        <c:axPos val="b"/>
        <c:numFmt formatCode="0.000" sourceLinked="1"/>
        <c:majorTickMark val="out"/>
        <c:minorTickMark val="none"/>
        <c:tickLblPos val="nextTo"/>
        <c:crossAx val="161912704"/>
        <c:crosses val="autoZero"/>
        <c:crossBetween val="midCat"/>
      </c:valAx>
      <c:valAx>
        <c:axId val="161912704"/>
        <c:scaling>
          <c:orientation val="minMax"/>
        </c:scaling>
        <c:delete val="0"/>
        <c:axPos val="l"/>
        <c:majorGridlines/>
        <c:numFmt formatCode="#,##0.0" sourceLinked="1"/>
        <c:majorTickMark val="out"/>
        <c:minorTickMark val="none"/>
        <c:tickLblPos val="nextTo"/>
        <c:crossAx val="161911168"/>
        <c:crosses val="autoZero"/>
        <c:crossBetween val="midCat"/>
      </c:valAx>
      <c:valAx>
        <c:axId val="161914240"/>
        <c:scaling>
          <c:orientation val="minMax"/>
        </c:scaling>
        <c:delete val="0"/>
        <c:axPos val="r"/>
        <c:numFmt formatCode="0.000" sourceLinked="1"/>
        <c:majorTickMark val="out"/>
        <c:minorTickMark val="none"/>
        <c:tickLblPos val="nextTo"/>
        <c:crossAx val="161920128"/>
        <c:crosses val="max"/>
        <c:crossBetween val="midCat"/>
      </c:valAx>
      <c:valAx>
        <c:axId val="161920128"/>
        <c:scaling>
          <c:orientation val="minMax"/>
        </c:scaling>
        <c:delete val="1"/>
        <c:axPos val="b"/>
        <c:numFmt formatCode="0.000" sourceLinked="1"/>
        <c:majorTickMark val="out"/>
        <c:minorTickMark val="none"/>
        <c:tickLblPos val="nextTo"/>
        <c:crossAx val="1619142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0</xdr:col>
      <xdr:colOff>304799</xdr:colOff>
      <xdr:row>2</xdr:row>
      <xdr:rowOff>38100</xdr:rowOff>
    </xdr:from>
    <xdr:ext cx="6715125" cy="2536079"/>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04799" y="438150"/>
          <a:ext cx="6715125" cy="2536079"/>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1" u="sng">
              <a:solidFill>
                <a:srgbClr val="FF0000"/>
              </a:solidFill>
              <a:effectLst/>
              <a:latin typeface="Arial" panose="020B0604020202020204" pitchFamily="34" charset="0"/>
              <a:ea typeface="+mn-ea"/>
              <a:cs typeface="Arial" panose="020B0604020202020204" pitchFamily="34" charset="0"/>
            </a:rPr>
            <a:t>Texas Instruments:</a:t>
          </a:r>
          <a:endParaRPr lang="en-US" sz="1200" b="1">
            <a:solidFill>
              <a:srgbClr val="FF0000"/>
            </a:solidFill>
            <a:effectLst/>
            <a:latin typeface="Arial" panose="020B0604020202020204" pitchFamily="34" charset="0"/>
            <a:ea typeface="+mn-ea"/>
            <a:cs typeface="Arial" panose="020B0604020202020204" pitchFamily="34" charset="0"/>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200" b="1">
              <a:solidFill>
                <a:schemeClr val="tx1"/>
              </a:solidFill>
              <a:effectLst/>
              <a:latin typeface="Arial" panose="020B0604020202020204" pitchFamily="34" charset="0"/>
              <a:ea typeface="+mn-ea"/>
              <a:cs typeface="Arial" panose="020B0604020202020204" pitchFamily="34" charset="0"/>
            </a:rPr>
            <a:t>Limited use policy</a:t>
          </a:r>
          <a:endParaRPr lang="en-US" sz="1200">
            <a:solidFill>
              <a:schemeClr val="tx1"/>
            </a:solidFill>
            <a:effectLst/>
            <a:latin typeface="Arial" panose="020B0604020202020204" pitchFamily="34" charset="0"/>
            <a:ea typeface="+mn-ea"/>
            <a:cs typeface="Arial" panose="020B0604020202020204" pitchFamily="34" charset="0"/>
          </a:endParaRPr>
        </a:p>
        <a:p>
          <a:r>
            <a:rPr lang="en-US" sz="1000">
              <a:solidFill>
                <a:schemeClr val="tx1"/>
              </a:solidFill>
              <a:effectLst/>
              <a:latin typeface="Arial" panose="020B0604020202020204" pitchFamily="34" charset="0"/>
              <a:ea typeface="+mn-ea"/>
              <a:cs typeface="Arial" panose="020B0604020202020204" pitchFamily="34" charset="0"/>
            </a:rPr>
            <a:t>You must treat this software and documentation like any other copyrighted material.</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200" b="1">
              <a:solidFill>
                <a:schemeClr val="tx1"/>
              </a:solidFill>
              <a:effectLst/>
              <a:latin typeface="Arial" panose="020B0604020202020204" pitchFamily="34" charset="0"/>
              <a:ea typeface="+mn-ea"/>
              <a:cs typeface="Arial" panose="020B0604020202020204" pitchFamily="34" charset="0"/>
            </a:rPr>
            <a:t>You may not:</a:t>
          </a:r>
          <a:endParaRPr lang="en-US" sz="1200">
            <a:solidFill>
              <a:schemeClr val="tx1"/>
            </a:solidFill>
            <a:effectLst/>
            <a:latin typeface="Arial" panose="020B0604020202020204" pitchFamily="34" charset="0"/>
            <a:ea typeface="+mn-ea"/>
            <a:cs typeface="Arial" panose="020B0604020202020204" pitchFamily="34" charset="0"/>
          </a:endParaRPr>
        </a:p>
        <a:p>
          <a:r>
            <a:rPr lang="en-US" sz="1000">
              <a:solidFill>
                <a:schemeClr val="tx1"/>
              </a:solidFill>
              <a:effectLst/>
              <a:latin typeface="Arial" panose="020B0604020202020204" pitchFamily="34" charset="0"/>
              <a:ea typeface="+mn-ea"/>
              <a:cs typeface="Arial" panose="020B0604020202020204" pitchFamily="34" charset="0"/>
            </a:rPr>
            <a:t>-Copy documentation of the software.</a:t>
          </a:r>
        </a:p>
        <a:p>
          <a:r>
            <a:rPr lang="en-US" sz="1000">
              <a:solidFill>
                <a:schemeClr val="tx1"/>
              </a:solidFill>
              <a:effectLst/>
              <a:latin typeface="Arial" panose="020B0604020202020204" pitchFamily="34" charset="0"/>
              <a:ea typeface="+mn-ea"/>
              <a:cs typeface="Arial" panose="020B0604020202020204" pitchFamily="34" charset="0"/>
            </a:rPr>
            <a:t>-Copy this software except to make archival or backup copies.</a:t>
          </a:r>
        </a:p>
        <a:p>
          <a:r>
            <a:rPr lang="en-US" sz="1000">
              <a:solidFill>
                <a:schemeClr val="tx1"/>
              </a:solidFill>
              <a:effectLst/>
              <a:latin typeface="Arial" panose="020B0604020202020204" pitchFamily="34" charset="0"/>
              <a:ea typeface="+mn-ea"/>
              <a:cs typeface="Arial" panose="020B0604020202020204" pitchFamily="34" charset="0"/>
            </a:rPr>
            <a:t>-Reverse engineer, decompile, disassemble, or make any attempt to discover the source code of the software.</a:t>
          </a:r>
        </a:p>
        <a:p>
          <a:r>
            <a:rPr lang="en-US" sz="1000">
              <a:solidFill>
                <a:schemeClr val="tx1"/>
              </a:solidFill>
              <a:effectLst/>
              <a:latin typeface="Arial" panose="020B0604020202020204" pitchFamily="34" charset="0"/>
              <a:ea typeface="+mn-ea"/>
              <a:cs typeface="Arial" panose="020B0604020202020204" pitchFamily="34" charset="0"/>
            </a:rPr>
            <a:t>-Place the software onto a server so that it is accessible via a public network suck as the internet.</a:t>
          </a:r>
        </a:p>
        <a:p>
          <a:r>
            <a:rPr lang="en-US" sz="1000">
              <a:solidFill>
                <a:schemeClr val="tx1"/>
              </a:solidFill>
              <a:effectLst/>
              <a:latin typeface="Arial" panose="020B0604020202020204" pitchFamily="34" charset="0"/>
              <a:ea typeface="+mn-ea"/>
              <a:cs typeface="Arial" panose="020B0604020202020204" pitchFamily="34" charset="0"/>
            </a:rPr>
            <a:t>-Sublicense, rent, lease, or lend any portion of the software or documentation.</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200">
              <a:solidFill>
                <a:schemeClr val="tx1"/>
              </a:solidFill>
              <a:effectLst/>
              <a:latin typeface="Arial" panose="020B0604020202020204" pitchFamily="34" charset="0"/>
              <a:ea typeface="+mn-ea"/>
              <a:cs typeface="Arial" panose="020B0604020202020204" pitchFamily="34" charset="0"/>
            </a:rPr>
            <a:t>Texas instruments is not responsible for the validity of any design created with this software and urges all designs to be fully tested and carefully verified.  Refer to the LM636x5 data sheet and EVM user's guide for more details.</a:t>
          </a:r>
        </a:p>
      </xdr:txBody>
    </xdr:sp>
    <xdr:clientData/>
  </xdr:oneCellAnchor>
  <xdr:oneCellAnchor>
    <xdr:from>
      <xdr:col>0</xdr:col>
      <xdr:colOff>314325</xdr:colOff>
      <xdr:row>16</xdr:row>
      <xdr:rowOff>19048</xdr:rowOff>
    </xdr:from>
    <xdr:ext cx="14230350" cy="11753852"/>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14325" y="3219448"/>
          <a:ext cx="14230350" cy="11753852"/>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solidFill>
                <a:srgbClr val="FF0000"/>
              </a:solidFill>
              <a:latin typeface="Arial" panose="020B0604020202020204" pitchFamily="34" charset="0"/>
              <a:cs typeface="Arial" panose="020B0604020202020204" pitchFamily="34" charset="0"/>
            </a:rPr>
            <a:t>LM636x5 Quick Start Design Tool</a:t>
          </a:r>
        </a:p>
        <a:p>
          <a:endParaRPr lang="en-US" sz="1100"/>
        </a:p>
        <a:p>
          <a:r>
            <a:rPr lang="en-US" sz="1200">
              <a:latin typeface="Arial" panose="020B0604020202020204" pitchFamily="34" charset="0"/>
              <a:cs typeface="Arial" panose="020B0604020202020204" pitchFamily="34" charset="0"/>
            </a:rPr>
            <a:t>This</a:t>
          </a:r>
          <a:r>
            <a:rPr lang="en-US" sz="1200" baseline="0">
              <a:latin typeface="Arial" panose="020B0604020202020204" pitchFamily="34" charset="0"/>
              <a:cs typeface="Arial" panose="020B0604020202020204" pitchFamily="34" charset="0"/>
            </a:rPr>
            <a:t> calculator can be used to select typical component values for the LM636x5 family of DC/DC buck converters.  Unless otherwise noted, the mode is assumed to be FPWM regardless of output current.  The user is encouraged to check the results over the full input voltage and load current range of the application.   The results given are only typical.  As always, the final design must be tested on the bench before committing to production.  For more details about achieving  a successful design, see the LM636x5 data sheets. </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Input Specifications</a:t>
          </a:r>
        </a:p>
        <a:p>
          <a:r>
            <a:rPr lang="en-US" sz="1200">
              <a:latin typeface="Arial" panose="020B0604020202020204" pitchFamily="34" charset="0"/>
              <a:cs typeface="Arial" panose="020B0604020202020204" pitchFamily="34" charset="0"/>
            </a:rPr>
            <a:t>Select</a:t>
          </a:r>
          <a:r>
            <a:rPr lang="en-US" sz="1200" baseline="0">
              <a:latin typeface="Arial" panose="020B0604020202020204" pitchFamily="34" charset="0"/>
              <a:cs typeface="Arial" panose="020B0604020202020204" pitchFamily="34" charset="0"/>
            </a:rPr>
            <a:t> the device type from the pull-down menu and then enter values for  input voltage, output voltage, load current and switching frequency.  The inductor current ripple factor is multiplied by the device current rating to give the inductor ripple current magnitude.  This factor should be in the range of 0.2 to 0.4; 0.3 being the typical value.</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Inductor Calculations</a:t>
          </a:r>
        </a:p>
        <a:p>
          <a:r>
            <a:rPr lang="en-US" sz="1200">
              <a:latin typeface="Arial" panose="020B0604020202020204" pitchFamily="34" charset="0"/>
              <a:cs typeface="Arial" panose="020B0604020202020204" pitchFamily="34" charset="0"/>
            </a:rPr>
            <a:t>Typical</a:t>
          </a:r>
          <a:r>
            <a:rPr lang="en-US" sz="1200" baseline="0">
              <a:latin typeface="Arial" panose="020B0604020202020204" pitchFamily="34" charset="0"/>
              <a:cs typeface="Arial" panose="020B0604020202020204" pitchFamily="34" charset="0"/>
            </a:rPr>
            <a:t> and minimum values of power inductor are calculated.  The user must select the next standard value  and enter where shown.  The inductor must be selected to withstand the current limit of the device.</a:t>
          </a: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Output Capacitor Calculations</a:t>
          </a:r>
        </a:p>
        <a:p>
          <a:r>
            <a:rPr lang="en-US" sz="1200">
              <a:latin typeface="Arial" panose="020B0604020202020204" pitchFamily="34" charset="0"/>
              <a:cs typeface="Arial" panose="020B0604020202020204" pitchFamily="34" charset="0"/>
            </a:rPr>
            <a:t>Typical and minimum</a:t>
          </a:r>
          <a:r>
            <a:rPr lang="en-US" sz="1200" baseline="0">
              <a:latin typeface="Arial" panose="020B0604020202020204" pitchFamily="34" charset="0"/>
              <a:cs typeface="Arial" panose="020B0604020202020204" pitchFamily="34" charset="0"/>
            </a:rPr>
            <a:t> values of output capacitance are calculated.  The user then enters in the actual capacitance where shown.  The output capacitor(s) should be ceramic, with at least an  X7R dielectric or better.  The user must select a capacitor bank to give the calculated capacitance under all conditions of DC bias, temperature, and tolerance.   Aluminium electrolytic capacitors can also be used to build up to the required capacitance, if needed.</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Feed-back Divider Resistors</a:t>
          </a:r>
        </a:p>
        <a:p>
          <a:r>
            <a:rPr lang="en-US" sz="1200">
              <a:latin typeface="Arial" panose="020B0604020202020204" pitchFamily="34" charset="0"/>
              <a:cs typeface="Arial" panose="020B0604020202020204" pitchFamily="34" charset="0"/>
            </a:rPr>
            <a:t>When</a:t>
          </a:r>
          <a:r>
            <a:rPr lang="en-US" sz="1200" baseline="0">
              <a:latin typeface="Arial" panose="020B0604020202020204" pitchFamily="34" charset="0"/>
              <a:cs typeface="Arial" panose="020B0604020202020204" pitchFamily="34" charset="0"/>
            </a:rPr>
            <a:t> using the ADJ mode, a feed-back divider is required.  Select the desired value of top feed-back resistor and the bottom resistor will be calculated.  For fixed 5V, 3.3V, or 1V output, no external resistors are needed.</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Feed-forward Capacitor Calculations</a:t>
          </a:r>
        </a:p>
        <a:p>
          <a:r>
            <a:rPr lang="en-US" sz="1200">
              <a:latin typeface="Arial" panose="020B0604020202020204" pitchFamily="34" charset="0"/>
              <a:cs typeface="Arial" panose="020B0604020202020204" pitchFamily="34" charset="0"/>
            </a:rPr>
            <a:t>When in ADJ</a:t>
          </a:r>
          <a:r>
            <a:rPr lang="en-US" sz="1200" baseline="0">
              <a:latin typeface="Arial" panose="020B0604020202020204" pitchFamily="34" charset="0"/>
              <a:cs typeface="Arial" panose="020B0604020202020204" pitchFamily="34" charset="0"/>
            </a:rPr>
            <a:t> mode, the user has the option to place a feed-forward capacitor across the top feed-back resistor.  A starting point value is calculated.  The user can enter this value where shown.  The value of this capacitor can be adjusted to give the desired loop performance.  This option is not available in the fixed output voltage mode.</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Input Voltage Range</a:t>
          </a:r>
        </a:p>
        <a:p>
          <a:r>
            <a:rPr lang="en-US" sz="1200">
              <a:latin typeface="Arial" panose="020B0604020202020204" pitchFamily="34" charset="0"/>
              <a:cs typeface="Arial" panose="020B0604020202020204" pitchFamily="34" charset="0"/>
            </a:rPr>
            <a:t>This sections calculates</a:t>
          </a:r>
          <a:r>
            <a:rPr lang="en-US" sz="1200" baseline="0">
              <a:latin typeface="Arial" panose="020B0604020202020204" pitchFamily="34" charset="0"/>
              <a:cs typeface="Arial" panose="020B0604020202020204" pitchFamily="34" charset="0"/>
            </a:rPr>
            <a:t> the </a:t>
          </a:r>
          <a:r>
            <a:rPr lang="en-US" sz="1200" i="1" baseline="0">
              <a:latin typeface="Arial" panose="020B0604020202020204" pitchFamily="34" charset="0"/>
              <a:cs typeface="Arial" panose="020B0604020202020204" pitchFamily="34" charset="0"/>
            </a:rPr>
            <a:t>approximate</a:t>
          </a:r>
          <a:r>
            <a:rPr lang="en-US" sz="1200" baseline="0">
              <a:latin typeface="Arial" panose="020B0604020202020204" pitchFamily="34" charset="0"/>
              <a:cs typeface="Arial" panose="020B0604020202020204" pitchFamily="34" charset="0"/>
            </a:rPr>
            <a:t> input voltage range for full frequency operation and/or drop-out.  The D.C. resistance of the inductor must be entered where shown.</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Auxiliary Components and Connections</a:t>
          </a:r>
        </a:p>
        <a:p>
          <a:r>
            <a:rPr lang="en-US" sz="1200">
              <a:latin typeface="Arial" panose="020B0604020202020204" pitchFamily="34" charset="0"/>
              <a:cs typeface="Arial" panose="020B0604020202020204" pitchFamily="34" charset="0"/>
            </a:rPr>
            <a:t>This section</a:t>
          </a:r>
          <a:r>
            <a:rPr lang="en-US" sz="1200" baseline="0">
              <a:latin typeface="Arial" panose="020B0604020202020204" pitchFamily="34" charset="0"/>
              <a:cs typeface="Arial" panose="020B0604020202020204" pitchFamily="34" charset="0"/>
            </a:rPr>
            <a:t> details the rest of the external components and connections required.  All capacitors should be ceramic.  The input capacitors must be rated for at least twice the maximum input voltage.  CIN-HF must be placed within 1mm of the device VIN and PGND pins.</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Inductor Current Calculations</a:t>
          </a:r>
        </a:p>
        <a:p>
          <a:r>
            <a:rPr lang="en-US" sz="1200">
              <a:latin typeface="Arial" panose="020B0604020202020204" pitchFamily="34" charset="0"/>
              <a:cs typeface="Arial" panose="020B0604020202020204" pitchFamily="34" charset="0"/>
            </a:rPr>
            <a:t>This section calculates the peak, valley and ripple current</a:t>
          </a:r>
          <a:r>
            <a:rPr lang="en-US" sz="1200" baseline="0">
              <a:latin typeface="Arial" panose="020B0604020202020204" pitchFamily="34" charset="0"/>
              <a:cs typeface="Arial" panose="020B0604020202020204" pitchFamily="34" charset="0"/>
            </a:rPr>
            <a:t> in the inductor.</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Arial" panose="020B0604020202020204" pitchFamily="34" charset="0"/>
              <a:ea typeface="+mn-ea"/>
              <a:cs typeface="Arial" panose="020B0604020202020204" pitchFamily="34" charset="0"/>
            </a:rPr>
            <a:t>Current Limit Calculations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device incorporates peak and valley current limit as well as "hiccup" mode.  When the load current exceeds the "Fold-back Current Limit" value, the switching frequency will drop, while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output voltage remains in regulation.  When the load current exceeds the "Current Limit" value, the switching frequency will drop, and the output voltage will drop out of regulation.  In this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maximum output current is limited to the value "Maximum Output Current".  When the output voltage falls below about 40% of the regulated value, hiccup mode is entered.  In this mode the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output current is limited to about 20% of the value Maximum Output Current".  Hiccup mode is not modeled in this spreadsheet.  The user is notified if the current limit is reached.</a:t>
          </a:r>
        </a:p>
        <a:p>
          <a:endPar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endPar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Arial" panose="020B0604020202020204" pitchFamily="34" charset="0"/>
              <a:ea typeface="+mn-ea"/>
              <a:cs typeface="Arial" panose="020B0604020202020204" pitchFamily="34" charset="0"/>
            </a:rPr>
            <a:t>Frequency Fold-back Calculations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auto-mode, this device incorporates PFM mode at reduced frequencies for light load operation.  Reduced frequency is also used in drop-out  mode and when the minimum switch on-time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 reached.  Some of this performance is shown in the graphs provided at the end of this spreadsheet.  Keep in mind that the performance values shown in the graphs can vary by as much as +/- 50%,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and the graphs are given for informational purposes only. Bench testing is recommended.  See data sheet for more details.</a:t>
          </a: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Estimated Loop Performance</a:t>
          </a:r>
        </a:p>
        <a:p>
          <a:r>
            <a:rPr lang="en-US" sz="1200">
              <a:latin typeface="Arial" panose="020B0604020202020204" pitchFamily="34" charset="0"/>
              <a:cs typeface="Arial" panose="020B0604020202020204" pitchFamily="34" charset="0"/>
            </a:rPr>
            <a:t>This section gives the estimated</a:t>
          </a:r>
          <a:r>
            <a:rPr lang="en-US" sz="1200" baseline="0">
              <a:latin typeface="Arial" panose="020B0604020202020204" pitchFamily="34" charset="0"/>
              <a:cs typeface="Arial" panose="020B0604020202020204" pitchFamily="34" charset="0"/>
            </a:rPr>
            <a:t> loop cross-over frequency and phase margin for the design.  By adjusting the output capacitor, load, and feed-forward capacitor (if applicable) the user can see the results on the Bode plot.  Please note that the graph indicates the actual loop phase, and not the phase margin, as some frequency response analyzers give.</a:t>
          </a:r>
        </a:p>
        <a:p>
          <a:endParaRPr lang="en-US" sz="1200" baseline="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0070C0"/>
              </a:solidFill>
              <a:effectLst/>
              <a:latin typeface="Arial" panose="020B0604020202020204" pitchFamily="34" charset="0"/>
              <a:ea typeface="+mn-ea"/>
              <a:cs typeface="Arial" panose="020B0604020202020204" pitchFamily="34" charset="0"/>
            </a:rPr>
            <a:t>Combined Modes</a:t>
          </a:r>
        </a:p>
        <a:p>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ysClr val="windowText" lastClr="000000"/>
              </a:solidFill>
              <a:effectLst/>
              <a:latin typeface="Arial" panose="020B0604020202020204" pitchFamily="34" charset="0"/>
              <a:ea typeface="+mn-ea"/>
              <a:cs typeface="Arial" panose="020B0604020202020204" pitchFamily="34" charset="0"/>
            </a:rPr>
            <a:t>When two</a:t>
          </a:r>
          <a:r>
            <a:rPr lang="en-US" sz="1200" b="0" baseline="0">
              <a:solidFill>
                <a:sysClr val="windowText" lastClr="000000"/>
              </a:solidFill>
              <a:effectLst/>
              <a:latin typeface="Arial" panose="020B0604020202020204" pitchFamily="34" charset="0"/>
              <a:ea typeface="+mn-ea"/>
              <a:cs typeface="Arial" panose="020B0604020202020204" pitchFamily="34" charset="0"/>
            </a:rPr>
            <a:t> or more modes of operation are active at the same time, such as light load and drop-out, the calculations may not be accurate.  In this case, bench measurements are the only way</a:t>
          </a:r>
        </a:p>
        <a:p>
          <a:pPr marL="0" marR="0" lvl="0" indent="0" defTabSz="914400" eaLnBrk="1" fontAlgn="auto" latinLnBrk="0" hangingPunct="1">
            <a:lnSpc>
              <a:spcPct val="100000"/>
            </a:lnSpc>
            <a:spcBef>
              <a:spcPts val="0"/>
            </a:spcBef>
            <a:spcAft>
              <a:spcPts val="0"/>
            </a:spcAft>
            <a:buClrTx/>
            <a:buSzTx/>
            <a:buFontTx/>
            <a:buNone/>
            <a:tabLst/>
            <a:defRPr/>
          </a:pPr>
          <a:r>
            <a:rPr lang="en-US" sz="1200" b="0" baseline="0">
              <a:solidFill>
                <a:sysClr val="windowText" lastClr="000000"/>
              </a:solidFill>
              <a:effectLst/>
              <a:latin typeface="Arial" panose="020B0604020202020204" pitchFamily="34" charset="0"/>
              <a:ea typeface="+mn-ea"/>
              <a:cs typeface="Arial" panose="020B0604020202020204" pitchFamily="34" charset="0"/>
            </a:rPr>
            <a:t>to accurately determine the application performance.</a:t>
          </a:r>
          <a:endParaRPr lang="en-US" sz="1200" b="0">
            <a:solidFill>
              <a:sysClr val="windowText" lastClr="000000"/>
            </a:solidFill>
            <a:effectLst/>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342900</xdr:colOff>
      <xdr:row>87</xdr:row>
      <xdr:rowOff>279400</xdr:rowOff>
    </xdr:from>
    <xdr:to>
      <xdr:col>4</xdr:col>
      <xdr:colOff>501569</xdr:colOff>
      <xdr:row>118</xdr:row>
      <xdr:rowOff>173546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209549</xdr:colOff>
      <xdr:row>3</xdr:row>
      <xdr:rowOff>171450</xdr:rowOff>
    </xdr:from>
    <xdr:to>
      <xdr:col>1</xdr:col>
      <xdr:colOff>609599</xdr:colOff>
      <xdr:row>7</xdr:row>
      <xdr:rowOff>142875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9549" y="771525"/>
          <a:ext cx="4048125" cy="7715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070C0"/>
              </a:solidFill>
              <a:latin typeface="+mn-lt"/>
            </a:rPr>
            <a:t>LM636x5 Component Calculator</a:t>
          </a:r>
        </a:p>
        <a:p>
          <a:r>
            <a:rPr lang="en-US" sz="2000" b="1">
              <a:solidFill>
                <a:srgbClr val="0070C0"/>
              </a:solidFill>
              <a:latin typeface="+mn-lt"/>
            </a:rPr>
            <a:t>Rev A4</a:t>
          </a:r>
        </a:p>
      </xdr:txBody>
    </xdr:sp>
    <xdr:clientData/>
  </xdr:twoCellAnchor>
  <xdr:twoCellAnchor editAs="oneCell">
    <xdr:from>
      <xdr:col>2</xdr:col>
      <xdr:colOff>1600200</xdr:colOff>
      <xdr:row>4</xdr:row>
      <xdr:rowOff>152400</xdr:rowOff>
    </xdr:from>
    <xdr:to>
      <xdr:col>11</xdr:col>
      <xdr:colOff>197763</xdr:colOff>
      <xdr:row>24</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77075" y="952500"/>
          <a:ext cx="8236863" cy="4343400"/>
        </a:xfrm>
        <a:prstGeom prst="rect">
          <a:avLst/>
        </a:prstGeom>
        <a:ln w="25400">
          <a:solidFill>
            <a:schemeClr val="tx1"/>
          </a:solidFill>
        </a:ln>
      </xdr:spPr>
    </xdr:pic>
    <xdr:clientData/>
  </xdr:twoCellAnchor>
  <xdr:twoCellAnchor>
    <xdr:from>
      <xdr:col>0</xdr:col>
      <xdr:colOff>457200</xdr:colOff>
      <xdr:row>121</xdr:row>
      <xdr:rowOff>47625</xdr:rowOff>
    </xdr:from>
    <xdr:to>
      <xdr:col>4</xdr:col>
      <xdr:colOff>485775</xdr:colOff>
      <xdr:row>148</xdr:row>
      <xdr:rowOff>114300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514350</xdr:colOff>
      <xdr:row>150</xdr:row>
      <xdr:rowOff>19050</xdr:rowOff>
    </xdr:from>
    <xdr:to>
      <xdr:col>4</xdr:col>
      <xdr:colOff>523875</xdr:colOff>
      <xdr:row>176</xdr:row>
      <xdr:rowOff>190500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782624</xdr:colOff>
      <xdr:row>168</xdr:row>
      <xdr:rowOff>50572</xdr:rowOff>
    </xdr:from>
    <xdr:to>
      <xdr:col>21</xdr:col>
      <xdr:colOff>754529</xdr:colOff>
      <xdr:row>201</xdr:row>
      <xdr:rowOff>29882</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1492063</xdr:colOff>
      <xdr:row>17</xdr:row>
      <xdr:rowOff>3923</xdr:rowOff>
    </xdr:from>
    <xdr:to>
      <xdr:col>14</xdr:col>
      <xdr:colOff>122</xdr:colOff>
      <xdr:row>45</xdr:row>
      <xdr:rowOff>22412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5887" y="3432923"/>
          <a:ext cx="7102970" cy="5666254"/>
        </a:xfrm>
        <a:prstGeom prst="rect">
          <a:avLst/>
        </a:prstGeom>
      </xdr:spPr>
    </xdr:pic>
    <xdr:clientData/>
  </xdr:twoCellAnchor>
  <xdr:twoCellAnchor editAs="oneCell">
    <xdr:from>
      <xdr:col>0</xdr:col>
      <xdr:colOff>816190</xdr:colOff>
      <xdr:row>15</xdr:row>
      <xdr:rowOff>118065</xdr:rowOff>
    </xdr:from>
    <xdr:to>
      <xdr:col>4</xdr:col>
      <xdr:colOff>721448</xdr:colOff>
      <xdr:row>44</xdr:row>
      <xdr:rowOff>123265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190" y="3143653"/>
          <a:ext cx="7189082" cy="58546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310661</xdr:colOff>
      <xdr:row>5</xdr:row>
      <xdr:rowOff>45085</xdr:rowOff>
    </xdr:from>
    <xdr:ext cx="9404839" cy="2907665"/>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10661" y="1007110"/>
          <a:ext cx="9404839" cy="2907665"/>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latin typeface="Arial" pitchFamily="34" charset="0"/>
              <a:cs typeface="Arial" pitchFamily="34" charset="0"/>
            </a:rPr>
            <a:t>According to Design,</a:t>
          </a:r>
          <a:r>
            <a:rPr lang="en-US" sz="1400" baseline="0">
              <a:latin typeface="Arial" pitchFamily="34" charset="0"/>
              <a:cs typeface="Arial" pitchFamily="34" charset="0"/>
            </a:rPr>
            <a:t> </a:t>
          </a:r>
          <a:r>
            <a:rPr lang="en-US" sz="1400">
              <a:latin typeface="Arial" pitchFamily="34" charset="0"/>
              <a:cs typeface="Arial" pitchFamily="34" charset="0"/>
            </a:rPr>
            <a:t>the</a:t>
          </a:r>
          <a:r>
            <a:rPr lang="en-US" sz="1400" baseline="0">
              <a:latin typeface="Arial" pitchFamily="34" charset="0"/>
              <a:cs typeface="Arial" pitchFamily="34" charset="0"/>
            </a:rPr>
            <a:t> third order parasitic network shown, appears at the output of the error amplifier.</a:t>
          </a:r>
        </a:p>
        <a:p>
          <a:endParaRPr lang="en-US" sz="1400" baseline="0">
            <a:latin typeface="Arial" pitchFamily="34" charset="0"/>
            <a:cs typeface="Arial" pitchFamily="34" charset="0"/>
          </a:endParaRPr>
        </a:p>
        <a:p>
          <a:r>
            <a:rPr lang="en-US" sz="1400" baseline="0">
              <a:latin typeface="Arial" pitchFamily="34" charset="0"/>
              <a:cs typeface="Arial" pitchFamily="34" charset="0"/>
            </a:rPr>
            <a:t>We can approximate this with a second order network, and then reduce to first order for simplicity in calculations and simulations.  (See: Dorf, R. C.; "Modern Control Systems", 4th edition, Addison-Wesley Publishing Co., MA.)</a:t>
          </a:r>
        </a:p>
        <a:p>
          <a:endParaRPr lang="en-US" sz="1400" baseline="0">
            <a:latin typeface="Arial" pitchFamily="34" charset="0"/>
            <a:cs typeface="Arial" pitchFamily="34" charset="0"/>
          </a:endParaRPr>
        </a:p>
        <a:p>
          <a:r>
            <a:rPr lang="en-US" sz="1400" baseline="0">
              <a:latin typeface="Arial" pitchFamily="34" charset="0"/>
              <a:cs typeface="Arial" pitchFamily="34" charset="0"/>
            </a:rPr>
            <a:t>Fortunately, the first order network appears to represent the third order network sufficiently within the frequency range of interest.</a:t>
          </a:r>
        </a:p>
        <a:p>
          <a:endParaRPr lang="en-US" sz="1400" baseline="0">
            <a:latin typeface="Arial" pitchFamily="34" charset="0"/>
            <a:cs typeface="Arial" pitchFamily="34" charset="0"/>
          </a:endParaRPr>
        </a:p>
        <a:p>
          <a:r>
            <a:rPr lang="en-US" sz="1400" baseline="0">
              <a:latin typeface="Arial" pitchFamily="34" charset="0"/>
              <a:cs typeface="Arial" pitchFamily="34" charset="0"/>
            </a:rPr>
            <a:t>For the 3rd order:</a:t>
          </a:r>
        </a:p>
        <a:p>
          <a:r>
            <a:rPr lang="en-US" sz="1400" b="1" baseline="0">
              <a:latin typeface="Arial" pitchFamily="34" charset="0"/>
              <a:cs typeface="Arial" pitchFamily="34" charset="0"/>
            </a:rPr>
            <a:t>A</a:t>
          </a:r>
          <a:r>
            <a:rPr lang="en-US" sz="1400" baseline="0">
              <a:latin typeface="Arial" pitchFamily="34" charset="0"/>
              <a:cs typeface="Arial" pitchFamily="34" charset="0"/>
            </a:rPr>
            <a:t>s</a:t>
          </a:r>
          <a:r>
            <a:rPr lang="en-US" sz="1400" baseline="30000">
              <a:latin typeface="Arial" pitchFamily="34" charset="0"/>
              <a:cs typeface="Arial" pitchFamily="34" charset="0"/>
            </a:rPr>
            <a:t>3</a:t>
          </a:r>
          <a:r>
            <a:rPr lang="en-US" sz="1400" baseline="0">
              <a:latin typeface="Arial" pitchFamily="34" charset="0"/>
              <a:cs typeface="Arial" pitchFamily="34" charset="0"/>
            </a:rPr>
            <a:t> + </a:t>
          </a:r>
          <a:r>
            <a:rPr lang="en-US" sz="1400" b="1" baseline="0">
              <a:latin typeface="Arial" pitchFamily="34" charset="0"/>
              <a:cs typeface="Arial" pitchFamily="34" charset="0"/>
            </a:rPr>
            <a:t>B</a:t>
          </a:r>
          <a:r>
            <a:rPr lang="en-US" sz="1400" baseline="0">
              <a:latin typeface="Arial" pitchFamily="34" charset="0"/>
              <a:cs typeface="Arial" pitchFamily="34" charset="0"/>
            </a:rPr>
            <a:t>s</a:t>
          </a:r>
          <a:r>
            <a:rPr lang="en-US" sz="1400" baseline="30000">
              <a:latin typeface="Arial" pitchFamily="34" charset="0"/>
              <a:cs typeface="Arial" pitchFamily="34" charset="0"/>
            </a:rPr>
            <a:t>2</a:t>
          </a:r>
          <a:r>
            <a:rPr lang="en-US" sz="1400" baseline="0">
              <a:latin typeface="Arial" pitchFamily="34" charset="0"/>
              <a:cs typeface="Arial" pitchFamily="34" charset="0"/>
            </a:rPr>
            <a:t> + </a:t>
          </a:r>
          <a:r>
            <a:rPr lang="en-US" sz="1400" b="1" baseline="0">
              <a:latin typeface="Arial" pitchFamily="34" charset="0"/>
              <a:cs typeface="Arial" pitchFamily="34" charset="0"/>
            </a:rPr>
            <a:t>C</a:t>
          </a:r>
          <a:r>
            <a:rPr lang="en-US" sz="1400" baseline="0">
              <a:latin typeface="Arial" pitchFamily="34" charset="0"/>
              <a:cs typeface="Arial" pitchFamily="34" charset="0"/>
            </a:rPr>
            <a:t>s +1</a:t>
          </a:r>
        </a:p>
        <a:p>
          <a:endParaRPr lang="en-US" sz="1400" baseline="0">
            <a:latin typeface="Arial" pitchFamily="34" charset="0"/>
            <a:cs typeface="Arial" pitchFamily="34" charset="0"/>
          </a:endParaRPr>
        </a:p>
        <a:p>
          <a:r>
            <a:rPr lang="en-US" sz="1400" baseline="0">
              <a:latin typeface="Arial" pitchFamily="34" charset="0"/>
              <a:cs typeface="Arial" pitchFamily="34" charset="0"/>
            </a:rPr>
            <a:t>The approximate second order poly is:</a:t>
          </a:r>
        </a:p>
        <a:p>
          <a:r>
            <a:rPr lang="en-US" sz="1400" b="1" baseline="0">
              <a:latin typeface="Arial" pitchFamily="34" charset="0"/>
              <a:cs typeface="Arial" pitchFamily="34" charset="0"/>
            </a:rPr>
            <a:t>d2</a:t>
          </a:r>
          <a:r>
            <a:rPr lang="en-US" sz="1400" baseline="0">
              <a:latin typeface="Arial" pitchFamily="34" charset="0"/>
              <a:cs typeface="Arial" pitchFamily="34" charset="0"/>
            </a:rPr>
            <a:t>s</a:t>
          </a:r>
          <a:r>
            <a:rPr lang="en-US" sz="1400" baseline="30000">
              <a:latin typeface="Arial" pitchFamily="34" charset="0"/>
              <a:cs typeface="Arial" pitchFamily="34" charset="0"/>
            </a:rPr>
            <a:t>2</a:t>
          </a:r>
          <a:r>
            <a:rPr lang="en-US" sz="1400" baseline="0">
              <a:latin typeface="Arial" pitchFamily="34" charset="0"/>
              <a:cs typeface="Arial" pitchFamily="34" charset="0"/>
            </a:rPr>
            <a:t> + </a:t>
          </a:r>
          <a:r>
            <a:rPr lang="en-US" sz="1400" b="1" baseline="0">
              <a:latin typeface="Arial" pitchFamily="34" charset="0"/>
              <a:cs typeface="Arial" pitchFamily="34" charset="0"/>
            </a:rPr>
            <a:t>d1</a:t>
          </a:r>
          <a:r>
            <a:rPr lang="en-US" sz="1400" baseline="0">
              <a:latin typeface="Arial" pitchFamily="34" charset="0"/>
              <a:cs typeface="Arial" pitchFamily="34" charset="0"/>
            </a:rPr>
            <a:t>s +1</a:t>
          </a:r>
        </a:p>
      </xdr:txBody>
    </xdr:sp>
    <xdr:clientData/>
  </xdr:oneCellAnchor>
  <xdr:twoCellAnchor>
    <xdr:from>
      <xdr:col>17</xdr:col>
      <xdr:colOff>400049</xdr:colOff>
      <xdr:row>49</xdr:row>
      <xdr:rowOff>23811</xdr:rowOff>
    </xdr:from>
    <xdr:to>
      <xdr:col>31</xdr:col>
      <xdr:colOff>590550</xdr:colOff>
      <xdr:row>74</xdr:row>
      <xdr:rowOff>19050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409574</xdr:colOff>
      <xdr:row>75</xdr:row>
      <xdr:rowOff>100010</xdr:rowOff>
    </xdr:from>
    <xdr:to>
      <xdr:col>31</xdr:col>
      <xdr:colOff>219075</xdr:colOff>
      <xdr:row>100</xdr:row>
      <xdr:rowOff>19049</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85725</xdr:colOff>
      <xdr:row>7</xdr:row>
      <xdr:rowOff>85725</xdr:rowOff>
    </xdr:from>
    <xdr:to>
      <xdr:col>21</xdr:col>
      <xdr:colOff>426567</xdr:colOff>
      <xdr:row>15</xdr:row>
      <xdr:rowOff>28575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5550" y="1428750"/>
          <a:ext cx="7027392" cy="1466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xdr:colOff>
          <xdr:row>7</xdr:row>
          <xdr:rowOff>38100</xdr:rowOff>
        </xdr:from>
        <xdr:to>
          <xdr:col>2</xdr:col>
          <xdr:colOff>523875</xdr:colOff>
          <xdr:row>10</xdr:row>
          <xdr:rowOff>123825</xdr:rowOff>
        </xdr:to>
        <xdr:sp macro="" textlink="">
          <xdr:nvSpPr>
            <xdr:cNvPr id="12294" name="Object 6" hidden="1">
              <a:extLst>
                <a:ext uri="{63B3BB69-23CF-44E3-9099-C40C66FF867C}">
                  <a14:compatExt spid="_x0000_s12294"/>
                </a:ext>
                <a:ext uri="{FF2B5EF4-FFF2-40B4-BE49-F238E27FC236}">
                  <a16:creationId xmlns:a16="http://schemas.microsoft.com/office/drawing/2014/main" id="{00000000-0008-0000-0800-000006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676275</xdr:colOff>
      <xdr:row>8</xdr:row>
      <xdr:rowOff>57150</xdr:rowOff>
    </xdr:from>
    <xdr:to>
      <xdr:col>6</xdr:col>
      <xdr:colOff>266700</xdr:colOff>
      <xdr:row>30</xdr:row>
      <xdr:rowOff>180975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1657350"/>
          <a:ext cx="6467475" cy="4524375"/>
        </a:xfrm>
        <a:prstGeom prst="rect">
          <a:avLst/>
        </a:prstGeom>
      </xdr:spPr>
    </xdr:pic>
    <xdr:clientData/>
  </xdr:twoCellAnchor>
  <xdr:twoCellAnchor>
    <xdr:from>
      <xdr:col>2</xdr:col>
      <xdr:colOff>676275</xdr:colOff>
      <xdr:row>106</xdr:row>
      <xdr:rowOff>180974</xdr:rowOff>
    </xdr:from>
    <xdr:to>
      <xdr:col>12</xdr:col>
      <xdr:colOff>419100</xdr:colOff>
      <xdr:row>130</xdr:row>
      <xdr:rowOff>114299</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600074</xdr:colOff>
      <xdr:row>17</xdr:row>
      <xdr:rowOff>142875</xdr:rowOff>
    </xdr:from>
    <xdr:to>
      <xdr:col>14</xdr:col>
      <xdr:colOff>514349</xdr:colOff>
      <xdr:row>40</xdr:row>
      <xdr:rowOff>190500</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2</xdr:col>
      <xdr:colOff>679173</xdr:colOff>
      <xdr:row>7</xdr:row>
      <xdr:rowOff>33131</xdr:rowOff>
    </xdr:from>
    <xdr:ext cx="2551044" cy="1188146"/>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3271630" y="1424609"/>
          <a:ext cx="2551044" cy="118814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t>MODE</a:t>
          </a:r>
        </a:p>
        <a:p>
          <a:r>
            <a:rPr lang="en-US" sz="1400" b="1"/>
            <a:t>0</a:t>
          </a:r>
          <a:r>
            <a:rPr lang="en-US" sz="1400" b="1" baseline="0"/>
            <a:t> = no limit</a:t>
          </a:r>
        </a:p>
        <a:p>
          <a:r>
            <a:rPr lang="en-US" sz="1400" b="1" baseline="0"/>
            <a:t>1 = LS limit</a:t>
          </a:r>
        </a:p>
        <a:p>
          <a:r>
            <a:rPr lang="en-US" sz="1400" b="1" baseline="0"/>
            <a:t>2 = HS and LS limit</a:t>
          </a:r>
        </a:p>
        <a:p>
          <a:r>
            <a:rPr lang="en-US" sz="1400" b="1" baseline="0"/>
            <a:t>3 = HS limit</a:t>
          </a:r>
          <a:endParaRPr lang="en-US" sz="1400" b="1"/>
        </a:p>
      </xdr:txBody>
    </xdr:sp>
    <xdr:clientData/>
  </xdr:oneCellAnchor>
  <xdr:twoCellAnchor>
    <xdr:from>
      <xdr:col>16</xdr:col>
      <xdr:colOff>157369</xdr:colOff>
      <xdr:row>610</xdr:row>
      <xdr:rowOff>94422</xdr:rowOff>
    </xdr:from>
    <xdr:to>
      <xdr:col>25</xdr:col>
      <xdr:colOff>463826</xdr:colOff>
      <xdr:row>631</xdr:row>
      <xdr:rowOff>182217</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173935</xdr:colOff>
      <xdr:row>7</xdr:row>
      <xdr:rowOff>182218</xdr:rowOff>
    </xdr:from>
    <xdr:ext cx="4754218" cy="1344599"/>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5715000" y="1573696"/>
          <a:ext cx="4754218" cy="1344599"/>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a:t>This device use the "averager".  Therefore</a:t>
          </a:r>
          <a:r>
            <a:rPr lang="en-US" sz="1600" baseline="0"/>
            <a:t> the effect of the corrective ramp on the high-side current limit is removed.  The high-side current limit will remain constant with changes in duty cycle, once the "averager" has settled to stead-state.</a:t>
          </a:r>
          <a:endParaRPr lang="en-US" sz="16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6.xml"/><Relationship Id="rId4" Type="http://schemas.openxmlformats.org/officeDocument/2006/relationships/image" Target="../media/image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L6" sqref="L6"/>
    </sheetView>
  </sheetViews>
  <sheetFormatPr defaultRowHeight="15.75" x14ac:dyDescent="0.25"/>
  <cols>
    <col min="3" max="3" width="14.75" customWidth="1"/>
  </cols>
  <sheetData/>
  <sheetProtection algorithmName="SHA-512" hashValue="sobBR6B1HUPdNxyiGacP7Y7c47AjbaoPGiDz5WH1fxjLD8HJsQ4VhItSsRxxYouwacV6JI279bHezW50WQRo7A==" saltValue="xkn3NBWQmYvxWcVbpLYdL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0:D18"/>
  <sheetViews>
    <sheetView topLeftCell="A4" workbookViewId="0">
      <selection activeCell="G15" sqref="G15"/>
    </sheetView>
  </sheetViews>
  <sheetFormatPr defaultRowHeight="15.75" x14ac:dyDescent="0.25"/>
  <cols>
    <col min="2" max="2" width="14" customWidth="1"/>
    <col min="3" max="3" width="21.75" customWidth="1"/>
    <col min="4" max="4" width="57.75" customWidth="1"/>
  </cols>
  <sheetData>
    <row r="10" spans="2:4" ht="16.5" thickBot="1" x14ac:dyDescent="0.3"/>
    <row r="11" spans="2:4" ht="23.25" x14ac:dyDescent="0.25">
      <c r="B11" s="135" t="s">
        <v>231</v>
      </c>
      <c r="C11" s="136" t="s">
        <v>232</v>
      </c>
      <c r="D11" s="137" t="s">
        <v>233</v>
      </c>
    </row>
    <row r="12" spans="2:4" ht="6.75" customHeight="1" thickBot="1" x14ac:dyDescent="0.3">
      <c r="B12" s="132"/>
      <c r="C12" s="133"/>
      <c r="D12" s="134"/>
    </row>
    <row r="13" spans="2:4" ht="27.75" customHeight="1" x14ac:dyDescent="0.3">
      <c r="B13" s="140" t="s">
        <v>44</v>
      </c>
      <c r="C13" s="141" t="s">
        <v>235</v>
      </c>
      <c r="D13" s="142" t="s">
        <v>234</v>
      </c>
    </row>
    <row r="14" spans="2:4" ht="93.75" customHeight="1" x14ac:dyDescent="0.3">
      <c r="B14" s="143" t="s">
        <v>236</v>
      </c>
      <c r="C14" s="138" t="s">
        <v>237</v>
      </c>
      <c r="D14" s="144" t="s">
        <v>238</v>
      </c>
    </row>
    <row r="15" spans="2:4" ht="87.75" customHeight="1" x14ac:dyDescent="0.3">
      <c r="B15" s="143" t="s">
        <v>49</v>
      </c>
      <c r="C15" s="139" t="s">
        <v>279</v>
      </c>
      <c r="D15" s="144" t="s">
        <v>280</v>
      </c>
    </row>
    <row r="16" spans="2:4" ht="78.75" customHeight="1" x14ac:dyDescent="0.3">
      <c r="B16" s="143" t="s">
        <v>289</v>
      </c>
      <c r="C16" s="139" t="s">
        <v>281</v>
      </c>
      <c r="D16" s="144" t="s">
        <v>282</v>
      </c>
    </row>
    <row r="17" spans="2:4" ht="20.25" x14ac:dyDescent="0.3">
      <c r="B17" s="143" t="s">
        <v>290</v>
      </c>
      <c r="C17" s="139" t="s">
        <v>291</v>
      </c>
      <c r="D17" s="145" t="s">
        <v>292</v>
      </c>
    </row>
    <row r="18" spans="2:4" ht="40.5" x14ac:dyDescent="0.3">
      <c r="B18" s="143" t="s">
        <v>293</v>
      </c>
      <c r="C18" s="139" t="s">
        <v>294</v>
      </c>
      <c r="D18" s="145" t="s">
        <v>295</v>
      </c>
    </row>
  </sheetData>
  <sheetProtection algorithmName="SHA-512" hashValue="5iQv6QuEk9VAwrktULkRLuz0CX+t2+5ZrGRX+f6ZTRLD7Vz93RoJKJpEDYXZcUf/57StD/y6fbdSHlN5C3xqGQ==" saltValue="mk8E0XDg18mNLTWT91y3aQ==" spinCount="100000" sheet="1" objects="1" scenarios="1" selectLockedCells="1" selectUn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4:H149"/>
  <sheetViews>
    <sheetView workbookViewId="0">
      <selection activeCell="B59" sqref="B59"/>
    </sheetView>
  </sheetViews>
  <sheetFormatPr defaultRowHeight="15.75" x14ac:dyDescent="0.25"/>
  <cols>
    <col min="1" max="1" width="18.875" customWidth="1"/>
    <col min="2" max="2" width="16.25" customWidth="1"/>
    <col min="3" max="3" width="17" customWidth="1"/>
    <col min="4" max="4" width="14" customWidth="1"/>
    <col min="5" max="5" width="11.375" customWidth="1"/>
    <col min="6" max="6" width="12.75" customWidth="1"/>
    <col min="7" max="7" width="12.25" customWidth="1"/>
    <col min="8" max="8" width="12.125" bestFit="1" customWidth="1"/>
    <col min="9" max="9" width="13.75" customWidth="1"/>
  </cols>
  <sheetData>
    <row r="4" spans="2:2" x14ac:dyDescent="0.25">
      <c r="B4" s="146">
        <v>43969</v>
      </c>
    </row>
    <row r="35" spans="1:7" x14ac:dyDescent="0.25">
      <c r="B35" s="147" t="s">
        <v>64</v>
      </c>
      <c r="C35" s="147" t="s">
        <v>65</v>
      </c>
      <c r="D35" s="147" t="s">
        <v>66</v>
      </c>
      <c r="E35" s="147" t="s">
        <v>56</v>
      </c>
      <c r="F35" s="147" t="s">
        <v>239</v>
      </c>
      <c r="G35" s="147" t="s">
        <v>240</v>
      </c>
    </row>
    <row r="36" spans="1:7" x14ac:dyDescent="0.25">
      <c r="A36" t="s">
        <v>225</v>
      </c>
      <c r="B36" s="99">
        <v>0.16</v>
      </c>
      <c r="C36" s="99">
        <v>0.57999999999999996</v>
      </c>
      <c r="D36" s="99">
        <v>1</v>
      </c>
      <c r="E36" s="99">
        <v>0.375</v>
      </c>
      <c r="F36" s="99">
        <v>1.8</v>
      </c>
      <c r="G36" s="99">
        <v>2.25</v>
      </c>
    </row>
    <row r="37" spans="1:7" x14ac:dyDescent="0.25">
      <c r="A37" t="s">
        <v>226</v>
      </c>
      <c r="B37" s="99">
        <v>0.16</v>
      </c>
      <c r="C37" s="99">
        <v>0.57999999999999996</v>
      </c>
      <c r="D37" s="99">
        <v>1</v>
      </c>
      <c r="E37" s="99">
        <v>0.6</v>
      </c>
      <c r="F37" s="99">
        <v>3</v>
      </c>
      <c r="G37" s="99">
        <v>3.75</v>
      </c>
    </row>
    <row r="38" spans="1:7" x14ac:dyDescent="0.25">
      <c r="A38" t="s">
        <v>227</v>
      </c>
      <c r="B38" s="99">
        <v>0.16</v>
      </c>
      <c r="C38" s="99">
        <v>0.57999999999999996</v>
      </c>
      <c r="D38" s="99">
        <v>1</v>
      </c>
      <c r="E38" s="99">
        <v>0.9</v>
      </c>
      <c r="F38" s="99">
        <v>3.7</v>
      </c>
      <c r="G38" s="99">
        <v>4.4000000000000004</v>
      </c>
    </row>
    <row r="41" spans="1:7" x14ac:dyDescent="0.25">
      <c r="B41" s="67" t="s">
        <v>241</v>
      </c>
      <c r="C41" s="67" t="s">
        <v>242</v>
      </c>
      <c r="D41" s="67" t="s">
        <v>243</v>
      </c>
      <c r="E41" s="67" t="s">
        <v>244</v>
      </c>
    </row>
    <row r="42" spans="1:7" x14ac:dyDescent="0.25">
      <c r="A42" t="s">
        <v>225</v>
      </c>
      <c r="B42" s="148">
        <f>(F36-0)/(C36-B36)</f>
        <v>4.2857142857142865</v>
      </c>
      <c r="C42" s="148">
        <f>F36-C36*B42</f>
        <v>-0.68571428571428572</v>
      </c>
      <c r="D42" s="148">
        <f>(G36-E36)/(D36-B36)</f>
        <v>2.2321428571428572</v>
      </c>
      <c r="E42" s="148">
        <f>E36-B36*D42</f>
        <v>1.7857142857142849E-2</v>
      </c>
    </row>
    <row r="43" spans="1:7" x14ac:dyDescent="0.25">
      <c r="A43" t="s">
        <v>226</v>
      </c>
      <c r="B43" s="148">
        <f t="shared" ref="B43:B44" si="0">(F37-0)/(C37-B37)</f>
        <v>7.1428571428571441</v>
      </c>
      <c r="C43" s="148">
        <f t="shared" ref="C43:C44" si="1">F37-C37*B43</f>
        <v>-1.1428571428571432</v>
      </c>
      <c r="D43" s="148">
        <f t="shared" ref="D43:D44" si="2">(G37-E37)/(D37-B37)</f>
        <v>3.75</v>
      </c>
      <c r="E43" s="148">
        <f t="shared" ref="E43:E44" si="3">E37-B37*D43</f>
        <v>0</v>
      </c>
    </row>
    <row r="44" spans="1:7" x14ac:dyDescent="0.25">
      <c r="A44" t="s">
        <v>227</v>
      </c>
      <c r="B44" s="148">
        <f t="shared" si="0"/>
        <v>8.809523809523812</v>
      </c>
      <c r="C44" s="148">
        <f t="shared" si="1"/>
        <v>-1.4095238095238107</v>
      </c>
      <c r="D44" s="148">
        <f t="shared" si="2"/>
        <v>4.166666666666667</v>
      </c>
      <c r="E44" s="148">
        <f t="shared" si="3"/>
        <v>0.23333333333333328</v>
      </c>
    </row>
    <row r="48" spans="1:7" x14ac:dyDescent="0.25">
      <c r="A48" t="s">
        <v>248</v>
      </c>
      <c r="B48" s="148">
        <f>IF(Helper_calcs!B10=1.5,PFM_auto!E36,IF(Helper_calcs!B10=2.5,PFM_auto!E37,IF(Helper_calcs!B10=3.25,PFM_auto!E38,x)))</f>
        <v>0.9</v>
      </c>
    </row>
    <row r="49" spans="1:8" x14ac:dyDescent="0.25">
      <c r="A49" t="s">
        <v>241</v>
      </c>
      <c r="B49" s="148">
        <f>IF(Helper_calcs!B10=1.5,PFM_auto!B42,IF(Helper_calcs!B10=2.5,PFM_auto!B43,IF(Helper_calcs!B10=3.25,PFM_auto!B44,x)))</f>
        <v>8.809523809523812</v>
      </c>
    </row>
    <row r="50" spans="1:8" x14ac:dyDescent="0.25">
      <c r="A50" t="s">
        <v>242</v>
      </c>
      <c r="B50" s="148">
        <f>IF(Helper_calcs!B10=1.5,PFM_auto!C42,IF(Helper_calcs!B10=2.5,PFM_auto!C43,IF(Helper_calcs!B10=3.25,PFM_auto!C44,x)))</f>
        <v>-1.4095238095238107</v>
      </c>
    </row>
    <row r="51" spans="1:8" x14ac:dyDescent="0.25">
      <c r="A51" t="s">
        <v>243</v>
      </c>
      <c r="B51" s="148">
        <f>IF(Helper_calcs!B10=1.5,PFM_auto!D42,IF(Helper_calcs!B10=2.5,PFM_auto!D43,IF(Helper_calcs!B10=3.25,PFM_auto!D44,x)))</f>
        <v>4.166666666666667</v>
      </c>
    </row>
    <row r="52" spans="1:8" x14ac:dyDescent="0.25">
      <c r="A52" t="s">
        <v>244</v>
      </c>
      <c r="B52" s="148">
        <f>IF(Helper_calcs!B10=1.5,PFM_auto!E42,IF(Helper_calcs!B10=2.5,PFM_auto!E43,IF(Helper_calcs!B10=3.25,PFM_auto!E44,x)))</f>
        <v>0.23333333333333328</v>
      </c>
    </row>
    <row r="53" spans="1:8" x14ac:dyDescent="0.25">
      <c r="A53" s="154" t="s">
        <v>249</v>
      </c>
      <c r="B53" s="148">
        <f>(Main!B18-Main!B19)*Helper_calcs!B34/loop_gain!B17</f>
        <v>0.10606060606060606</v>
      </c>
    </row>
    <row r="54" spans="1:8" x14ac:dyDescent="0.25">
      <c r="A54" s="154" t="s">
        <v>253</v>
      </c>
      <c r="B54" s="148" t="str">
        <f>IF(B53&gt;B48,"TRUE","FALSE")</f>
        <v>FALSE</v>
      </c>
    </row>
    <row r="55" spans="1:8" x14ac:dyDescent="0.25">
      <c r="A55" t="s">
        <v>250</v>
      </c>
      <c r="B55" s="63">
        <f>IF(B54="true",B53,B48)</f>
        <v>0.9</v>
      </c>
    </row>
    <row r="56" spans="1:8" x14ac:dyDescent="0.25">
      <c r="A56" t="s">
        <v>251</v>
      </c>
      <c r="B56" s="130">
        <f>IF(B54="false",(loop_gain!B17*PFM_auto!B55)/(Main!B18-Main!B19),Helper_calcs!B34)</f>
        <v>4.2428571428571428E-7</v>
      </c>
    </row>
    <row r="57" spans="1:8" x14ac:dyDescent="0.25">
      <c r="A57" t="s">
        <v>252</v>
      </c>
      <c r="B57" s="130">
        <f>(B55*loop_gain!B17)/Main!B19</f>
        <v>5.9399999999999995E-7</v>
      </c>
    </row>
    <row r="58" spans="1:8" x14ac:dyDescent="0.25">
      <c r="A58" t="s">
        <v>245</v>
      </c>
      <c r="B58" s="130">
        <f>(2/B55)/(B56+B57)</f>
        <v>2182316.9971318119</v>
      </c>
    </row>
    <row r="59" spans="1:8" x14ac:dyDescent="0.25">
      <c r="A59" t="s">
        <v>255</v>
      </c>
      <c r="B59" s="130">
        <f>(Main!B18-Main!B19)*Main!B19/(Main!B18*loop_gain!B17)</f>
        <v>883838.38383838383</v>
      </c>
    </row>
    <row r="60" spans="1:8" x14ac:dyDescent="0.25">
      <c r="A60" t="s">
        <v>257</v>
      </c>
      <c r="B60" s="130">
        <f>2*(B51-B49)/(B51+B49)</f>
        <v>-0.71559633027522962</v>
      </c>
    </row>
    <row r="61" spans="1:8" x14ac:dyDescent="0.25">
      <c r="A61" t="s">
        <v>258</v>
      </c>
      <c r="B61" s="130">
        <f>(-B52-B50)*(B51-B49)/(B51+B49)+B52-B50</f>
        <v>1.2220183486238538</v>
      </c>
    </row>
    <row r="64" spans="1:8" x14ac:dyDescent="0.25">
      <c r="A64" s="67" t="s">
        <v>246</v>
      </c>
      <c r="B64" s="67" t="s">
        <v>247</v>
      </c>
      <c r="C64" s="152" t="s">
        <v>254</v>
      </c>
      <c r="D64" s="67" t="s">
        <v>256</v>
      </c>
      <c r="E64" s="67"/>
      <c r="F64" s="157" t="s">
        <v>259</v>
      </c>
      <c r="H64" s="67"/>
    </row>
    <row r="65" spans="1:8" x14ac:dyDescent="0.25">
      <c r="A65" s="150">
        <v>1E-4</v>
      </c>
      <c r="B65" s="151">
        <f>IF(A65*$B$58&lt;loop_gain!$B$18,A65*$B$58,loop_gain!$B$18)</f>
        <v>218.2316997131812</v>
      </c>
      <c r="C65" s="155" t="str">
        <f>IF(A65&lt;=$B$55/2,"DCM","CCM")</f>
        <v>DCM</v>
      </c>
      <c r="D65" s="149">
        <f>IF(loop_gain!$B$48/($B$59/(A65*$B$60+$B$61))&lt;Helper_calcs!$B$34,loop_gain!$B$48/Helper_calcs!$B$34,$B$59/(A65*$B$60+$B$61))</f>
        <v>723303.49553790537</v>
      </c>
      <c r="F65" s="149">
        <f>IF(C65="DCM",IF(B65&lt;loop_gain!$B$18,PFM_auto!B65,loop_gain!$B$18),IF(PFM_auto!D65&lt;loop_gain!$B$18,PFM_auto!D65,loop_gain!$B$18))</f>
        <v>218.2316997131812</v>
      </c>
      <c r="H65" s="156"/>
    </row>
    <row r="66" spans="1:8" x14ac:dyDescent="0.25">
      <c r="A66" s="150">
        <v>2.0000000000000001E-4</v>
      </c>
      <c r="B66" s="151">
        <f>IF(A66*$B$58&lt;loop_gain!$B$18,A66*$B$58,loop_gain!$B$18)</f>
        <v>436.4633994263624</v>
      </c>
      <c r="C66" s="155" t="str">
        <f t="shared" ref="C66:C103" si="4">IF(A66&lt;=$B$55/2,"DCM","CCM")</f>
        <v>DCM</v>
      </c>
      <c r="D66" s="149">
        <f>IF(loop_gain!$B$48/($B$59/(A66*$B$60+$B$61))&lt;Helper_calcs!$B$34,loop_gain!$B$48/Helper_calcs!$B$34,$B$59/(A66*$B$60+$B$61))</f>
        <v>723345.85610915232</v>
      </c>
      <c r="F66" s="149">
        <f>IF(C66="DCM",IF(B66&lt;loop_gain!$B$18,PFM_auto!B66,loop_gain!$B$18),IF(PFM_auto!D66&lt;loop_gain!$B$18,PFM_auto!D66,loop_gain!$B$18))</f>
        <v>436.4633994263624</v>
      </c>
      <c r="H66" s="156"/>
    </row>
    <row r="67" spans="1:8" x14ac:dyDescent="0.25">
      <c r="A67" s="150">
        <v>2.9999999999999997E-4</v>
      </c>
      <c r="B67" s="151">
        <f>IF(A67*$B$58&lt;loop_gain!$B$18,A67*$B$58,loop_gain!$B$18)</f>
        <v>654.69509913954357</v>
      </c>
      <c r="C67" s="155" t="str">
        <f t="shared" si="4"/>
        <v>DCM</v>
      </c>
      <c r="D67" s="149">
        <f>IF(loop_gain!$B$48/($B$59/(A67*$B$60+$B$61))&lt;Helper_calcs!$B$34,loop_gain!$B$48/Helper_calcs!$B$34,$B$59/(A67*$B$60+$B$61))</f>
        <v>723388.22164241911</v>
      </c>
      <c r="F67" s="149">
        <f>IF(C67="DCM",IF(B67&lt;loop_gain!$B$18,PFM_auto!B67,loop_gain!$B$18),IF(PFM_auto!D67&lt;loop_gain!$B$18,PFM_auto!D67,loop_gain!$B$18))</f>
        <v>654.69509913954357</v>
      </c>
      <c r="H67" s="156"/>
    </row>
    <row r="68" spans="1:8" x14ac:dyDescent="0.25">
      <c r="A68" s="150">
        <v>4.0000000000000002E-4</v>
      </c>
      <c r="B68" s="151">
        <f>IF(A68*$B$58&lt;loop_gain!$B$18,A68*$B$58,loop_gain!$B$18)</f>
        <v>872.9267988527248</v>
      </c>
      <c r="C68" s="155" t="str">
        <f t="shared" si="4"/>
        <v>DCM</v>
      </c>
      <c r="D68" s="149">
        <f>IF(loop_gain!$B$48/($B$59/(A68*$B$60+$B$61))&lt;Helper_calcs!$B$34,loop_gain!$B$48/Helper_calcs!$B$34,$B$59/(A68*$B$60+$B$61))</f>
        <v>723430.59213857737</v>
      </c>
      <c r="F68" s="149">
        <f>IF(C68="DCM",IF(B68&lt;loop_gain!$B$18,PFM_auto!B68,loop_gain!$B$18),IF(PFM_auto!D68&lt;loop_gain!$B$18,PFM_auto!D68,loop_gain!$B$18))</f>
        <v>872.9267988527248</v>
      </c>
      <c r="H68" s="156"/>
    </row>
    <row r="69" spans="1:8" x14ac:dyDescent="0.25">
      <c r="A69" s="150">
        <v>5.0000000000000001E-4</v>
      </c>
      <c r="B69" s="151">
        <f>IF(A69*$B$58&lt;loop_gain!$B$18,A69*$B$58,loop_gain!$B$18)</f>
        <v>1091.158498565906</v>
      </c>
      <c r="C69" s="155" t="str">
        <f t="shared" si="4"/>
        <v>DCM</v>
      </c>
      <c r="D69" s="149">
        <f>IF(loop_gain!$B$48/($B$59/(A69*$B$60+$B$61))&lt;Helper_calcs!$B$34,loop_gain!$B$48/Helper_calcs!$B$34,$B$59/(A69*$B$60+$B$61))</f>
        <v>723472.9675984995</v>
      </c>
      <c r="F69" s="149">
        <f>IF(C69="DCM",IF(B69&lt;loop_gain!$B$18,PFM_auto!B69,loop_gain!$B$18),IF(PFM_auto!D69&lt;loop_gain!$B$18,PFM_auto!D69,loop_gain!$B$18))</f>
        <v>1091.158498565906</v>
      </c>
      <c r="H69" s="156"/>
    </row>
    <row r="70" spans="1:8" x14ac:dyDescent="0.25">
      <c r="A70" s="150">
        <v>5.9999999999999995E-4</v>
      </c>
      <c r="B70" s="151">
        <f>IF(A70*$B$58&lt;loop_gain!$B$18,A70*$B$58,loop_gain!$B$18)</f>
        <v>1309.3901982790871</v>
      </c>
      <c r="C70" s="155" t="str">
        <f t="shared" si="4"/>
        <v>DCM</v>
      </c>
      <c r="D70" s="149">
        <f>IF(loop_gain!$B$48/($B$59/(A70*$B$60+$B$61))&lt;Helper_calcs!$B$34,loop_gain!$B$48/Helper_calcs!$B$34,$B$59/(A70*$B$60+$B$61))</f>
        <v>723515.34802305757</v>
      </c>
      <c r="F70" s="149">
        <f>IF(C70="DCM",IF(B70&lt;loop_gain!$B$18,PFM_auto!B70,loop_gain!$B$18),IF(PFM_auto!D70&lt;loop_gain!$B$18,PFM_auto!D70,loop_gain!$B$18))</f>
        <v>1309.3901982790871</v>
      </c>
      <c r="H70" s="156"/>
    </row>
    <row r="71" spans="1:8" x14ac:dyDescent="0.25">
      <c r="A71" s="150">
        <v>6.9999999999999999E-4</v>
      </c>
      <c r="B71" s="151">
        <f>IF(A71*$B$58&lt;loop_gain!$B$18,A71*$B$58,loop_gain!$B$18)</f>
        <v>1527.6218979922683</v>
      </c>
      <c r="C71" s="155" t="str">
        <f t="shared" si="4"/>
        <v>DCM</v>
      </c>
      <c r="D71" s="149">
        <f>IF(loop_gain!$B$48/($B$59/(A71*$B$60+$B$61))&lt;Helper_calcs!$B$34,loop_gain!$B$48/Helper_calcs!$B$34,$B$59/(A71*$B$60+$B$61))</f>
        <v>723557.73341312422</v>
      </c>
      <c r="F71" s="149">
        <f>IF(C71="DCM",IF(B71&lt;loop_gain!$B$18,PFM_auto!B71,loop_gain!$B$18),IF(PFM_auto!D71&lt;loop_gain!$B$18,PFM_auto!D71,loop_gain!$B$18))</f>
        <v>1527.6218979922683</v>
      </c>
      <c r="H71" s="156"/>
    </row>
    <row r="72" spans="1:8" x14ac:dyDescent="0.25">
      <c r="A72" s="150">
        <v>8.0000000000000004E-4</v>
      </c>
      <c r="B72" s="151">
        <f>IF(A72*$B$58&lt;loop_gain!$B$18,A72*$B$58,loop_gain!$B$18)</f>
        <v>1745.8535977054496</v>
      </c>
      <c r="C72" s="155" t="str">
        <f t="shared" si="4"/>
        <v>DCM</v>
      </c>
      <c r="D72" s="149">
        <f>IF(loop_gain!$B$48/($B$59/(A72*$B$60+$B$61))&lt;Helper_calcs!$B$34,loop_gain!$B$48/Helper_calcs!$B$34,$B$59/(A72*$B$60+$B$61))</f>
        <v>723600.12376957212</v>
      </c>
      <c r="F72" s="149">
        <f>IF(C72="DCM",IF(B72&lt;loop_gain!$B$18,PFM_auto!B72,loop_gain!$B$18),IF(PFM_auto!D72&lt;loop_gain!$B$18,PFM_auto!D72,loop_gain!$B$18))</f>
        <v>1745.8535977054496</v>
      </c>
      <c r="H72" s="156"/>
    </row>
    <row r="73" spans="1:8" x14ac:dyDescent="0.25">
      <c r="A73" s="150">
        <v>8.9999999999999998E-4</v>
      </c>
      <c r="B73" s="151">
        <f>IF(A73*$B$58&lt;loop_gain!$B$18,A73*$B$58,loop_gain!$B$18)</f>
        <v>1964.0852974186307</v>
      </c>
      <c r="C73" s="155" t="str">
        <f t="shared" si="4"/>
        <v>DCM</v>
      </c>
      <c r="D73" s="149">
        <f>IF(loop_gain!$B$48/($B$59/(A73*$B$60+$B$61))&lt;Helper_calcs!$B$34,loop_gain!$B$48/Helper_calcs!$B$34,$B$59/(A73*$B$60+$B$61))</f>
        <v>723642.51909327437</v>
      </c>
      <c r="F73" s="149">
        <f>IF(C73="DCM",IF(B73&lt;loop_gain!$B$18,PFM_auto!B73,loop_gain!$B$18),IF(PFM_auto!D73&lt;loop_gain!$B$18,PFM_auto!D73,loop_gain!$B$18))</f>
        <v>1964.0852974186307</v>
      </c>
      <c r="H73" s="156"/>
    </row>
    <row r="74" spans="1:8" x14ac:dyDescent="0.25">
      <c r="A74">
        <v>1E-3</v>
      </c>
      <c r="B74" s="151">
        <f>IF(A74*$B$58&lt;loop_gain!$B$18,A74*$B$58,loop_gain!$B$18)</f>
        <v>2182.3169971318121</v>
      </c>
      <c r="C74" s="155" t="str">
        <f t="shared" si="4"/>
        <v>DCM</v>
      </c>
      <c r="D74" s="149">
        <f>IF(loop_gain!$B$48/($B$59/(A74*$B$60+$B$61))&lt;Helper_calcs!$B$34,loop_gain!$B$48/Helper_calcs!$B$34,$B$59/(A74*$B$60+$B$61))</f>
        <v>723684.91938510374</v>
      </c>
      <c r="F74" s="149">
        <f>IF(C74="DCM",IF(B74&lt;loop_gain!$B$18,PFM_auto!B74,loop_gain!$B$18),IF(PFM_auto!D74&lt;loop_gain!$B$18,PFM_auto!D74,loop_gain!$B$18))</f>
        <v>2182.3169971318121</v>
      </c>
      <c r="H74" s="156"/>
    </row>
    <row r="75" spans="1:8" x14ac:dyDescent="0.25">
      <c r="A75">
        <f>0.001+A74</f>
        <v>2E-3</v>
      </c>
      <c r="B75" s="151">
        <f>IF(A75*$B$58&lt;loop_gain!$B$18,A75*$B$58,loop_gain!$B$18)</f>
        <v>4364.6339942636241</v>
      </c>
      <c r="C75" s="155" t="str">
        <f t="shared" si="4"/>
        <v>DCM</v>
      </c>
      <c r="D75" s="149">
        <f>IF(loop_gain!$B$48/($B$59/(A75*$B$60+$B$61))&lt;Helper_calcs!$B$34,loop_gain!$B$48/Helper_calcs!$B$34,$B$59/(A75*$B$60+$B$61))</f>
        <v>724109.19574263983</v>
      </c>
      <c r="F75" s="149">
        <f>IF(C75="DCM",IF(B75&lt;loop_gain!$B$18,PFM_auto!B75,loop_gain!$B$18),IF(PFM_auto!D75&lt;loop_gain!$B$18,PFM_auto!D75,loop_gain!$B$18))</f>
        <v>4364.6339942636241</v>
      </c>
      <c r="H75" s="156"/>
    </row>
    <row r="76" spans="1:8" x14ac:dyDescent="0.25">
      <c r="A76">
        <f t="shared" ref="A76:A83" si="5">0.001+A75</f>
        <v>3.0000000000000001E-3</v>
      </c>
      <c r="B76" s="151">
        <f>IF(A76*$B$58&lt;loop_gain!$B$18,A76*$B$58,loop_gain!$B$18)</f>
        <v>6546.9509913954362</v>
      </c>
      <c r="C76" s="155" t="str">
        <f t="shared" si="4"/>
        <v>DCM</v>
      </c>
      <c r="D76" s="149">
        <f>IF(loop_gain!$B$48/($B$59/(A76*$B$60+$B$61))&lt;Helper_calcs!$B$34,loop_gain!$B$48/Helper_calcs!$B$34,$B$59/(A76*$B$60+$B$61))</f>
        <v>724533.96987488377</v>
      </c>
      <c r="F76" s="149">
        <f>IF(C76="DCM",IF(B76&lt;loop_gain!$B$18,PFM_auto!B76,loop_gain!$B$18),IF(PFM_auto!D76&lt;loop_gain!$B$18,PFM_auto!D76,loop_gain!$B$18))</f>
        <v>6546.9509913954362</v>
      </c>
      <c r="H76" s="156"/>
    </row>
    <row r="77" spans="1:8" x14ac:dyDescent="0.25">
      <c r="A77">
        <f t="shared" si="5"/>
        <v>4.0000000000000001E-3</v>
      </c>
      <c r="B77" s="151">
        <f>IF(A77*$B$58&lt;loop_gain!$B$18,A77*$B$58,loop_gain!$B$18)</f>
        <v>8729.2679885272482</v>
      </c>
      <c r="C77" s="155" t="str">
        <f t="shared" si="4"/>
        <v>DCM</v>
      </c>
      <c r="D77" s="149">
        <f>IF(loop_gain!$B$48/($B$59/(A77*$B$60+$B$61))&lt;Helper_calcs!$B$34,loop_gain!$B$48/Helper_calcs!$B$34,$B$59/(A77*$B$60+$B$61))</f>
        <v>724959.24265835737</v>
      </c>
      <c r="F77" s="149">
        <f>IF(C77="DCM",IF(B77&lt;loop_gain!$B$18,PFM_auto!B77,loop_gain!$B$18),IF(PFM_auto!D77&lt;loop_gain!$B$18,PFM_auto!D77,loop_gain!$B$18))</f>
        <v>8729.2679885272482</v>
      </c>
      <c r="H77" s="156"/>
    </row>
    <row r="78" spans="1:8" x14ac:dyDescent="0.25">
      <c r="A78">
        <f t="shared" si="5"/>
        <v>5.0000000000000001E-3</v>
      </c>
      <c r="B78" s="151">
        <f>IF(A78*$B$58&lt;loop_gain!$B$18,A78*$B$58,loop_gain!$B$18)</f>
        <v>10911.584985659059</v>
      </c>
      <c r="C78" s="155" t="str">
        <f t="shared" si="4"/>
        <v>DCM</v>
      </c>
      <c r="D78" s="149">
        <f>IF(loop_gain!$B$48/($B$59/(A78*$B$60+$B$61))&lt;Helper_calcs!$B$34,loop_gain!$B$48/Helper_calcs!$B$34,$B$59/(A78*$B$60+$B$61))</f>
        <v>725385.01497164206</v>
      </c>
      <c r="F78" s="149">
        <f>IF(C78="DCM",IF(B78&lt;loop_gain!$B$18,PFM_auto!B78,loop_gain!$B$18),IF(PFM_auto!D78&lt;loop_gain!$B$18,PFM_auto!D78,loop_gain!$B$18))</f>
        <v>10911.584985659059</v>
      </c>
      <c r="H78" s="156"/>
    </row>
    <row r="79" spans="1:8" x14ac:dyDescent="0.25">
      <c r="A79">
        <f t="shared" si="5"/>
        <v>6.0000000000000001E-3</v>
      </c>
      <c r="B79" s="151">
        <f>IF(A79*$B$58&lt;loop_gain!$B$18,A79*$B$58,loop_gain!$B$18)</f>
        <v>13093.901982790872</v>
      </c>
      <c r="C79" s="155" t="str">
        <f t="shared" si="4"/>
        <v>DCM</v>
      </c>
      <c r="D79" s="149">
        <f>IF(loop_gain!$B$48/($B$59/(A79*$B$60+$B$61))&lt;Helper_calcs!$B$34,loop_gain!$B$48/Helper_calcs!$B$34,$B$59/(A79*$B$60+$B$61))</f>
        <v>725811.28769538458</v>
      </c>
      <c r="F79" s="149">
        <f>IF(C79="DCM",IF(B79&lt;loop_gain!$B$18,PFM_auto!B79,loop_gain!$B$18),IF(PFM_auto!D79&lt;loop_gain!$B$18,PFM_auto!D79,loop_gain!$B$18))</f>
        <v>13093.901982790872</v>
      </c>
      <c r="H79" s="156"/>
    </row>
    <row r="80" spans="1:8" x14ac:dyDescent="0.25">
      <c r="A80">
        <f t="shared" si="5"/>
        <v>7.0000000000000001E-3</v>
      </c>
      <c r="B80" s="151">
        <f>IF(A80*$B$58&lt;loop_gain!$B$18,A80*$B$58,loop_gain!$B$18)</f>
        <v>15276.218979922684</v>
      </c>
      <c r="C80" s="155" t="str">
        <f t="shared" si="4"/>
        <v>DCM</v>
      </c>
      <c r="D80" s="149">
        <f>IF(loop_gain!$B$48/($B$59/(A80*$B$60+$B$61))&lt;Helper_calcs!$B$34,loop_gain!$B$48/Helper_calcs!$B$34,$B$59/(A80*$B$60+$B$61))</f>
        <v>726238.06171230262</v>
      </c>
      <c r="F80" s="149">
        <f>IF(C80="DCM",IF(B80&lt;loop_gain!$B$18,PFM_auto!B80,loop_gain!$B$18),IF(PFM_auto!D80&lt;loop_gain!$B$18,PFM_auto!D80,loop_gain!$B$18))</f>
        <v>15276.218979922684</v>
      </c>
      <c r="H80" s="156"/>
    </row>
    <row r="81" spans="1:8" x14ac:dyDescent="0.25">
      <c r="A81">
        <f t="shared" si="5"/>
        <v>8.0000000000000002E-3</v>
      </c>
      <c r="B81" s="151">
        <f>IF(A81*$B$58&lt;loop_gain!$B$18,A81*$B$58,loop_gain!$B$18)</f>
        <v>17458.535977054496</v>
      </c>
      <c r="C81" s="155" t="str">
        <f t="shared" si="4"/>
        <v>DCM</v>
      </c>
      <c r="D81" s="149">
        <f>IF(loop_gain!$B$48/($B$59/(A81*$B$60+$B$61))&lt;Helper_calcs!$B$34,loop_gain!$B$48/Helper_calcs!$B$34,$B$59/(A81*$B$60+$B$61))</f>
        <v>726665.33790719125</v>
      </c>
      <c r="F81" s="149">
        <f>IF(C81="DCM",IF(B81&lt;loop_gain!$B$18,PFM_auto!B81,loop_gain!$B$18),IF(PFM_auto!D81&lt;loop_gain!$B$18,PFM_auto!D81,loop_gain!$B$18))</f>
        <v>17458.535977054496</v>
      </c>
      <c r="H81" s="156"/>
    </row>
    <row r="82" spans="1:8" x14ac:dyDescent="0.25">
      <c r="A82">
        <f t="shared" si="5"/>
        <v>9.0000000000000011E-3</v>
      </c>
      <c r="B82" s="151">
        <f>IF(A82*$B$58&lt;loop_gain!$B$18,A82*$B$58,loop_gain!$B$18)</f>
        <v>19640.852974186309</v>
      </c>
      <c r="C82" s="155" t="str">
        <f t="shared" si="4"/>
        <v>DCM</v>
      </c>
      <c r="D82" s="149">
        <f>IF(loop_gain!$B$48/($B$59/(A82*$B$60+$B$61))&lt;Helper_calcs!$B$34,loop_gain!$B$48/Helper_calcs!$B$34,$B$59/(A82*$B$60+$B$61))</f>
        <v>727093.11716692918</v>
      </c>
      <c r="F82" s="149">
        <f>IF(C82="DCM",IF(B82&lt;loop_gain!$B$18,PFM_auto!B82,loop_gain!$B$18),IF(PFM_auto!D82&lt;loop_gain!$B$18,PFM_auto!D82,loop_gain!$B$18))</f>
        <v>19640.852974186309</v>
      </c>
      <c r="H82" s="156"/>
    </row>
    <row r="83" spans="1:8" x14ac:dyDescent="0.25">
      <c r="A83">
        <f t="shared" si="5"/>
        <v>1.0000000000000002E-2</v>
      </c>
      <c r="B83" s="151">
        <f>IF(A83*$B$58&lt;loop_gain!$B$18,A83*$B$58,loop_gain!$B$18)</f>
        <v>21823.169971318122</v>
      </c>
      <c r="C83" s="155" t="str">
        <f t="shared" si="4"/>
        <v>DCM</v>
      </c>
      <c r="D83" s="149">
        <f>IF(loop_gain!$B$48/($B$59/(A83*$B$60+$B$61))&lt;Helper_calcs!$B$34,loop_gain!$B$48/Helper_calcs!$B$34,$B$59/(A83*$B$60+$B$61))</f>
        <v>727521.40038048476</v>
      </c>
      <c r="F83" s="149">
        <f>IF(C83="DCM",IF(B83&lt;loop_gain!$B$18,PFM_auto!B83,loop_gain!$B$18),IF(PFM_auto!D83&lt;loop_gain!$B$18,PFM_auto!D83,loop_gain!$B$18))</f>
        <v>21823.169971318122</v>
      </c>
      <c r="H83" s="156"/>
    </row>
    <row r="84" spans="1:8" x14ac:dyDescent="0.25">
      <c r="A84">
        <f>0.01+A83</f>
        <v>2.0000000000000004E-2</v>
      </c>
      <c r="B84" s="151">
        <f>IF(A84*$B$58&lt;loop_gain!$B$18,A84*$B$58,loop_gain!$B$18)</f>
        <v>43646.339942636245</v>
      </c>
      <c r="C84" s="155" t="str">
        <f t="shared" si="4"/>
        <v>DCM</v>
      </c>
      <c r="D84" s="149">
        <f>IF(loop_gain!$B$48/($B$59/(A84*$B$60+$B$61))&lt;Helper_calcs!$B$34,loop_gain!$B$48/Helper_calcs!$B$34,$B$59/(A84*$B$60+$B$61))</f>
        <v>731832.14705548296</v>
      </c>
      <c r="F84" s="149">
        <f>IF(C84="DCM",IF(B84&lt;loop_gain!$B$18,PFM_auto!B84,loop_gain!$B$18),IF(PFM_auto!D84&lt;loop_gain!$B$18,PFM_auto!D84,loop_gain!$B$18))</f>
        <v>43646.339942636245</v>
      </c>
      <c r="H84" s="156"/>
    </row>
    <row r="85" spans="1:8" x14ac:dyDescent="0.25">
      <c r="A85">
        <f t="shared" ref="A85:A92" si="6">0.01+A84</f>
        <v>3.0000000000000006E-2</v>
      </c>
      <c r="B85" s="151">
        <f>IF(A85*$B$58&lt;loop_gain!$B$18,A85*$B$58,loop_gain!$B$18)</f>
        <v>65469.509913954367</v>
      </c>
      <c r="C85" s="155" t="str">
        <f t="shared" si="4"/>
        <v>DCM</v>
      </c>
      <c r="D85" s="149">
        <f>IF(loop_gain!$B$48/($B$59/(A85*$B$60+$B$61))&lt;Helper_calcs!$B$34,loop_gain!$B$48/Helper_calcs!$B$34,$B$59/(A85*$B$60+$B$61))</f>
        <v>736194.28273256763</v>
      </c>
      <c r="F85" s="149">
        <f>IF(C85="DCM",IF(B85&lt;loop_gain!$B$18,PFM_auto!B85,loop_gain!$B$18),IF(PFM_auto!D85&lt;loop_gain!$B$18,PFM_auto!D85,loop_gain!$B$18))</f>
        <v>65469.509913954367</v>
      </c>
      <c r="H85" s="156"/>
    </row>
    <row r="86" spans="1:8" x14ac:dyDescent="0.25">
      <c r="A86">
        <f t="shared" si="6"/>
        <v>4.0000000000000008E-2</v>
      </c>
      <c r="B86" s="151">
        <f>IF(A86*$B$58&lt;loop_gain!$B$18,A86*$B$58,loop_gain!$B$18)</f>
        <v>87292.67988527249</v>
      </c>
      <c r="C86" s="155" t="str">
        <f t="shared" si="4"/>
        <v>DCM</v>
      </c>
      <c r="D86" s="149">
        <f>IF(loop_gain!$B$48/($B$59/(A86*$B$60+$B$61))&lt;Helper_calcs!$B$34,loop_gain!$B$48/Helper_calcs!$B$34,$B$59/(A86*$B$60+$B$61))</f>
        <v>740608.73184489389</v>
      </c>
      <c r="F86" s="149">
        <f>IF(C86="DCM",IF(B86&lt;loop_gain!$B$18,PFM_auto!B86,loop_gain!$B$18),IF(PFM_auto!D86&lt;loop_gain!$B$18,PFM_auto!D86,loop_gain!$B$18))</f>
        <v>87292.67988527249</v>
      </c>
      <c r="H86" s="156"/>
    </row>
    <row r="87" spans="1:8" x14ac:dyDescent="0.25">
      <c r="A87">
        <f t="shared" si="6"/>
        <v>5.000000000000001E-2</v>
      </c>
      <c r="B87" s="151">
        <f>IF(A87*$B$58&lt;loop_gain!$B$18,A87*$B$58,loop_gain!$B$18)</f>
        <v>109115.84985659062</v>
      </c>
      <c r="C87" s="155" t="str">
        <f t="shared" si="4"/>
        <v>DCM</v>
      </c>
      <c r="D87" s="149">
        <f>IF(loop_gain!$B$48/($B$59/(A87*$B$60+$B$61))&lt;Helper_calcs!$B$34,loop_gain!$B$48/Helper_calcs!$B$34,$B$59/(A87*$B$60+$B$61))</f>
        <v>745076.44113212521</v>
      </c>
      <c r="F87" s="149">
        <f>IF(C87="DCM",IF(B87&lt;loop_gain!$B$18,PFM_auto!B87,loop_gain!$B$18),IF(PFM_auto!D87&lt;loop_gain!$B$18,PFM_auto!D87,loop_gain!$B$18))</f>
        <v>109115.84985659062</v>
      </c>
      <c r="H87" s="156"/>
    </row>
    <row r="88" spans="1:8" x14ac:dyDescent="0.25">
      <c r="A88">
        <f t="shared" si="6"/>
        <v>6.0000000000000012E-2</v>
      </c>
      <c r="B88" s="151">
        <f>IF(A88*$B$58&lt;loop_gain!$B$18,A88*$B$58,loop_gain!$B$18)</f>
        <v>130939.01982790873</v>
      </c>
      <c r="C88" s="155" t="str">
        <f t="shared" si="4"/>
        <v>DCM</v>
      </c>
      <c r="D88" s="149">
        <f>IF(loop_gain!$B$48/($B$59/(A88*$B$60+$B$61))&lt;Helper_calcs!$B$34,loop_gain!$B$48/Helper_calcs!$B$34,$B$59/(A88*$B$60+$B$61))</f>
        <v>749598.3803173342</v>
      </c>
      <c r="F88" s="149">
        <f>IF(C88="DCM",IF(B88&lt;loop_gain!$B$18,PFM_auto!B88,loop_gain!$B$18),IF(PFM_auto!D88&lt;loop_gain!$B$18,PFM_auto!D88,loop_gain!$B$18))</f>
        <v>130939.01982790873</v>
      </c>
      <c r="H88" s="156"/>
    </row>
    <row r="89" spans="1:8" x14ac:dyDescent="0.25">
      <c r="A89">
        <f t="shared" si="6"/>
        <v>7.0000000000000007E-2</v>
      </c>
      <c r="B89" s="151">
        <f>IF(A89*$B$58&lt;loop_gain!$B$18,A89*$B$58,loop_gain!$B$18)</f>
        <v>152762.18979922685</v>
      </c>
      <c r="C89" s="155" t="str">
        <f t="shared" si="4"/>
        <v>DCM</v>
      </c>
      <c r="D89" s="149">
        <f>IF(loop_gain!$B$48/($B$59/(A89*$B$60+$B$61))&lt;Helper_calcs!$B$34,loop_gain!$B$48/Helper_calcs!$B$34,$B$59/(A89*$B$60+$B$61))</f>
        <v>754175.5428087035</v>
      </c>
      <c r="F89" s="149">
        <f>IF(C89="DCM",IF(B89&lt;loop_gain!$B$18,PFM_auto!B89,loop_gain!$B$18),IF(PFM_auto!D89&lt;loop_gain!$B$18,PFM_auto!D89,loop_gain!$B$18))</f>
        <v>152762.18979922685</v>
      </c>
      <c r="H89" s="156"/>
    </row>
    <row r="90" spans="1:8" x14ac:dyDescent="0.25">
      <c r="A90">
        <f t="shared" si="6"/>
        <v>0.08</v>
      </c>
      <c r="B90" s="151">
        <f>IF(A90*$B$58&lt;loop_gain!$B$18,A90*$B$58,loop_gain!$B$18)</f>
        <v>174585.35977054495</v>
      </c>
      <c r="C90" s="155" t="str">
        <f t="shared" si="4"/>
        <v>DCM</v>
      </c>
      <c r="D90" s="149">
        <f>IF(loop_gain!$B$48/($B$59/(A90*$B$60+$B$61))&lt;Helper_calcs!$B$34,loop_gain!$B$48/Helper_calcs!$B$34,$B$59/(A90*$B$60+$B$61))</f>
        <v>758808.94642709335</v>
      </c>
      <c r="F90" s="149">
        <f>IF(C90="DCM",IF(B90&lt;loop_gain!$B$18,PFM_auto!B90,loop_gain!$B$18),IF(PFM_auto!D90&lt;loop_gain!$B$18,PFM_auto!D90,loop_gain!$B$18))</f>
        <v>174585.35977054495</v>
      </c>
      <c r="H90" s="156"/>
    </row>
    <row r="91" spans="1:8" x14ac:dyDescent="0.25">
      <c r="A91">
        <f t="shared" si="6"/>
        <v>0.09</v>
      </c>
      <c r="B91" s="151">
        <f>IF(A91*$B$58&lt;loop_gain!$B$18,A91*$B$58,loop_gain!$B$18)</f>
        <v>196408.52974186308</v>
      </c>
      <c r="C91" s="155" t="str">
        <f t="shared" si="4"/>
        <v>DCM</v>
      </c>
      <c r="D91" s="149">
        <f>IF(loop_gain!$B$48/($B$59/(A91*$B$60+$B$61))&lt;Helper_calcs!$B$34,loop_gain!$B$48/Helper_calcs!$B$34,$B$59/(A91*$B$60+$B$61))</f>
        <v>763499.63416059432</v>
      </c>
      <c r="F91" s="149">
        <f>IF(C91="DCM",IF(B91&lt;loop_gain!$B$18,PFM_auto!B91,loop_gain!$B$18),IF(PFM_auto!D91&lt;loop_gain!$B$18,PFM_auto!D91,loop_gain!$B$18))</f>
        <v>196408.52974186308</v>
      </c>
      <c r="H91" s="156"/>
    </row>
    <row r="92" spans="1:8" x14ac:dyDescent="0.25">
      <c r="A92">
        <f t="shared" si="6"/>
        <v>9.9999999999999992E-2</v>
      </c>
      <c r="B92" s="151">
        <f>IF(A92*$B$58&lt;loop_gain!$B$18,A92*$B$58,loop_gain!$B$18)</f>
        <v>218231.69971318118</v>
      </c>
      <c r="C92" s="155" t="str">
        <f t="shared" si="4"/>
        <v>DCM</v>
      </c>
      <c r="D92" s="149">
        <f>IF(loop_gain!$B$48/($B$59/(A92*$B$60+$B$61))&lt;Helper_calcs!$B$34,loop_gain!$B$48/Helper_calcs!$B$34,$B$59/(A92*$B$60+$B$61))</f>
        <v>768248.67494723911</v>
      </c>
      <c r="F92" s="149">
        <f>IF(C92="DCM",IF(B92&lt;loop_gain!$B$18,PFM_auto!B92,loop_gain!$B$18),IF(PFM_auto!D92&lt;loop_gain!$B$18,PFM_auto!D92,loop_gain!$B$18))</f>
        <v>218231.69971318118</v>
      </c>
      <c r="H92" s="156"/>
    </row>
    <row r="93" spans="1:8" x14ac:dyDescent="0.25">
      <c r="A93">
        <f>0.1+A92</f>
        <v>0.2</v>
      </c>
      <c r="B93" s="151">
        <f>IF(A93*$B$58&lt;loop_gain!$B$18,A93*$B$58,loop_gain!$B$18)</f>
        <v>436463.39942636242</v>
      </c>
      <c r="C93" s="155" t="str">
        <f t="shared" si="4"/>
        <v>DCM</v>
      </c>
      <c r="D93" s="149">
        <f>IF(loop_gain!$B$48/($B$59/(A93*$B$60+$B$61))&lt;Helper_calcs!$B$34,loop_gain!$B$48/Helper_calcs!$B$34,$B$59/(A93*$B$60+$B$61))</f>
        <v>819203.94420394383</v>
      </c>
      <c r="F93" s="149">
        <f>IF(C93="DCM",IF(B93&lt;loop_gain!$B$18,PFM_auto!B93,loop_gain!$B$18),IF(PFM_auto!D93&lt;loop_gain!$B$18,PFM_auto!D93,loop_gain!$B$18))</f>
        <v>436463.39942636242</v>
      </c>
      <c r="H93" s="156"/>
    </row>
    <row r="94" spans="1:8" x14ac:dyDescent="0.25">
      <c r="A94">
        <f t="shared" ref="A94:A101" si="7">0.1+A93</f>
        <v>0.30000000000000004</v>
      </c>
      <c r="B94" s="151">
        <f>IF(A94*$B$58&lt;loop_gain!$B$18,A94*$B$58,loop_gain!$B$18)</f>
        <v>654695.09913954372</v>
      </c>
      <c r="C94" s="155" t="str">
        <f t="shared" si="4"/>
        <v>DCM</v>
      </c>
      <c r="D94" s="149">
        <f>IF(loop_gain!$B$48/($B$59/(A94*$B$60+$B$61))&lt;Helper_calcs!$B$34,loop_gain!$B$48/Helper_calcs!$B$34,$B$59/(A94*$B$60+$B$61))</f>
        <v>877398.75991242076</v>
      </c>
      <c r="F94" s="149">
        <f>IF(C94="DCM",IF(B94&lt;loop_gain!$B$18,PFM_auto!B94,loop_gain!$B$18),IF(PFM_auto!D94&lt;loop_gain!$B$18,PFM_auto!D94,loop_gain!$B$18))</f>
        <v>654695.09913954372</v>
      </c>
      <c r="H94" s="156"/>
    </row>
    <row r="95" spans="1:8" x14ac:dyDescent="0.25">
      <c r="A95">
        <f t="shared" si="7"/>
        <v>0.4</v>
      </c>
      <c r="B95" s="151">
        <f>IF(A95*$B$58&lt;loop_gain!$B$18,A95*$B$58,loop_gain!$B$18)</f>
        <v>872926.79885272484</v>
      </c>
      <c r="C95" s="155" t="str">
        <f t="shared" si="4"/>
        <v>DCM</v>
      </c>
      <c r="D95" s="149">
        <f>IF(loop_gain!$B$48/($B$59/(A95*$B$60+$B$61))&lt;Helper_calcs!$B$34,loop_gain!$B$48/Helper_calcs!$B$34,$B$59/(A95*$B$60+$B$61))</f>
        <v>944493.95919984102</v>
      </c>
      <c r="F95" s="149">
        <f>IF(C95="DCM",IF(B95&lt;loop_gain!$B$18,PFM_auto!B95,loop_gain!$B$18),IF(PFM_auto!D95&lt;loop_gain!$B$18,PFM_auto!D95,loop_gain!$B$18))</f>
        <v>872926.79885272484</v>
      </c>
      <c r="H95" s="156"/>
    </row>
    <row r="96" spans="1:8" x14ac:dyDescent="0.25">
      <c r="A96">
        <f t="shared" si="7"/>
        <v>0.5</v>
      </c>
      <c r="B96" s="151">
        <f>IF(A96*$B$58&lt;loop_gain!$B$18,A96*$B$58,loop_gain!$B$18)</f>
        <v>1091158.498565906</v>
      </c>
      <c r="C96" s="155" t="str">
        <f t="shared" si="4"/>
        <v>CCM</v>
      </c>
      <c r="D96" s="149">
        <f>IF(loop_gain!$B$48/($B$59/(A96*$B$60+$B$61))&lt;Helper_calcs!$B$34,loop_gain!$B$48/Helper_calcs!$B$34,$B$59/(A96*$B$60+$B$61))</f>
        <v>1022700.4653756239</v>
      </c>
      <c r="F96" s="149">
        <f>IF(C96="DCM",IF(B96&lt;loop_gain!$B$18,PFM_auto!B96,loop_gain!$B$18),IF(PFM_auto!D96&lt;loop_gain!$B$18,PFM_auto!D96,loop_gain!$B$18))</f>
        <v>1022700.4653756239</v>
      </c>
      <c r="H96" s="156"/>
    </row>
    <row r="97" spans="1:8" x14ac:dyDescent="0.25">
      <c r="A97">
        <f t="shared" si="7"/>
        <v>0.6</v>
      </c>
      <c r="B97" s="151">
        <f>IF(A97*$B$58&lt;loop_gain!$B$18,A97*$B$58,loop_gain!$B$18)</f>
        <v>1309390.1982790872</v>
      </c>
      <c r="C97" s="155" t="str">
        <f t="shared" si="4"/>
        <v>CCM</v>
      </c>
      <c r="D97" s="149">
        <f>IF(loop_gain!$B$48/($B$59/(A97*$B$60+$B$61))&lt;Helper_calcs!$B$34,loop_gain!$B$48/Helper_calcs!$B$34,$B$59/(A97*$B$60+$B$61))</f>
        <v>1115027.5907220345</v>
      </c>
      <c r="F97" s="149">
        <f>IF(C97="DCM",IF(B97&lt;loop_gain!$B$18,PFM_auto!B97,loop_gain!$B$18),IF(PFM_auto!D97&lt;loop_gain!$B$18,PFM_auto!D97,loop_gain!$B$18))</f>
        <v>1115027.5907220345</v>
      </c>
      <c r="H97" s="156"/>
    </row>
    <row r="98" spans="1:8" x14ac:dyDescent="0.25">
      <c r="A98">
        <f t="shared" si="7"/>
        <v>0.7</v>
      </c>
      <c r="B98" s="151">
        <f>IF(A98*$B$58&lt;loop_gain!$B$18,A98*$B$58,loop_gain!$B$18)</f>
        <v>1527621.8979922682</v>
      </c>
      <c r="C98" s="155" t="str">
        <f t="shared" si="4"/>
        <v>CCM</v>
      </c>
      <c r="D98" s="149">
        <f>IF(loop_gain!$B$48/($B$59/(A98*$B$60+$B$61))&lt;Helper_calcs!$B$34,loop_gain!$B$48/Helper_calcs!$B$34,$B$59/(A98*$B$60+$B$61))</f>
        <v>1225679.1836944502</v>
      </c>
      <c r="F98" s="149">
        <f>IF(C98="DCM",IF(B98&lt;loop_gain!$B$18,PFM_auto!B98,loop_gain!$B$18),IF(PFM_auto!D98&lt;loop_gain!$B$18,PFM_auto!D98,loop_gain!$B$18))</f>
        <v>1225679.1836944502</v>
      </c>
      <c r="H98" s="156"/>
    </row>
    <row r="99" spans="1:8" x14ac:dyDescent="0.25">
      <c r="A99">
        <f t="shared" si="7"/>
        <v>0.79999999999999993</v>
      </c>
      <c r="B99" s="151">
        <f>IF(A99*$B$58&lt;loop_gain!$B$18,A99*$B$58,loop_gain!$B$18)</f>
        <v>1745853.5977054494</v>
      </c>
      <c r="C99" s="155" t="str">
        <f t="shared" si="4"/>
        <v>CCM</v>
      </c>
      <c r="D99" s="149">
        <f>IF(loop_gain!$B$48/($B$59/(A99*$B$60+$B$61))&lt;Helper_calcs!$B$34,loop_gain!$B$48/Helper_calcs!$B$34,$B$59/(A99*$B$60+$B$61))</f>
        <v>1360711.636135364</v>
      </c>
      <c r="F99" s="149">
        <f>IF(C99="DCM",IF(B99&lt;loop_gain!$B$18,PFM_auto!B99,loop_gain!$B$18),IF(PFM_auto!D99&lt;loop_gain!$B$18,PFM_auto!D99,loop_gain!$B$18))</f>
        <v>1360711.636135364</v>
      </c>
      <c r="H99" s="156"/>
    </row>
    <row r="100" spans="1:8" x14ac:dyDescent="0.25">
      <c r="A100">
        <f t="shared" si="7"/>
        <v>0.89999999999999991</v>
      </c>
      <c r="B100" s="151">
        <f>IF(A100*$B$58&lt;loop_gain!$B$18,A100*$B$58,loop_gain!$B$18)</f>
        <v>1964085.2974186304</v>
      </c>
      <c r="C100" s="155" t="str">
        <f t="shared" si="4"/>
        <v>CCM</v>
      </c>
      <c r="D100" s="149">
        <f>IF(loop_gain!$B$48/($B$59/(A100*$B$60+$B$61))&lt;Helper_calcs!$B$34,loop_gain!$B$48/Helper_calcs!$B$34,$B$59/(A100*$B$60+$B$61))</f>
        <v>1529180.6958473613</v>
      </c>
      <c r="F100" s="149">
        <f>IF(C100="DCM",IF(B100&lt;loop_gain!$B$18,PFM_auto!B100,loop_gain!$B$18),IF(PFM_auto!D100&lt;loop_gain!$B$18,PFM_auto!D100,loop_gain!$B$18))</f>
        <v>1529180.6958473613</v>
      </c>
      <c r="H100" s="156"/>
    </row>
    <row r="101" spans="1:8" x14ac:dyDescent="0.25">
      <c r="A101">
        <f t="shared" si="7"/>
        <v>0.99999999999999989</v>
      </c>
      <c r="B101" s="151">
        <f>IF(A101*$B$58&lt;loop_gain!$B$18,A101*$B$58,loop_gain!$B$18)</f>
        <v>2100000</v>
      </c>
      <c r="C101" s="155" t="str">
        <f t="shared" si="4"/>
        <v>CCM</v>
      </c>
      <c r="D101" s="149">
        <f>IF(loop_gain!$B$48/($B$59/(A101*$B$60+$B$61))&lt;Helper_calcs!$B$34,loop_gain!$B$48/Helper_calcs!$B$34,$B$59/(A101*$B$60+$B$61))</f>
        <v>1745260.5767823143</v>
      </c>
      <c r="F101" s="149">
        <f>IF(C101="DCM",IF(B101&lt;loop_gain!$B$18,PFM_auto!B101,loop_gain!$B$18),IF(PFM_auto!D101&lt;loop_gain!$B$18,PFM_auto!D101,loop_gain!$B$18))</f>
        <v>1745260.5767823143</v>
      </c>
      <c r="H101" s="156"/>
    </row>
    <row r="102" spans="1:8" x14ac:dyDescent="0.25">
      <c r="A102">
        <f>1+A101</f>
        <v>2</v>
      </c>
      <c r="B102" s="151">
        <f>IF(A102*$B$58&lt;loop_gain!$B$18,A102*$B$58,loop_gain!$B$18)</f>
        <v>2100000</v>
      </c>
      <c r="C102" s="155" t="str">
        <f t="shared" si="4"/>
        <v>CCM</v>
      </c>
      <c r="D102" s="149">
        <f>IF(loop_gain!$B$48/($B$59/(A102*$B$60+$B$61))&lt;Helper_calcs!$B$34,loop_gain!$B$48/Helper_calcs!$B$34,$B$59/(A102*$B$60+$B$61))</f>
        <v>8333333.333333334</v>
      </c>
      <c r="F102" s="149">
        <f>IF(C102="DCM",IF(B102&lt;loop_gain!$B$18,PFM_auto!B102,loop_gain!$B$18),IF(PFM_auto!D102&lt;loop_gain!$B$18,PFM_auto!D102,loop_gain!$B$18))</f>
        <v>2100000</v>
      </c>
      <c r="H102" s="156"/>
    </row>
    <row r="103" spans="1:8" x14ac:dyDescent="0.25">
      <c r="A103">
        <f>1+A102</f>
        <v>3</v>
      </c>
      <c r="B103" s="151">
        <f>IF(A103*$B$58&lt;loop_gain!$B$18,A103*$B$58,loop_gain!$B$18)</f>
        <v>2100000</v>
      </c>
      <c r="C103" s="155" t="str">
        <f t="shared" si="4"/>
        <v>CCM</v>
      </c>
      <c r="D103" s="149">
        <f>IF(loop_gain!$B$48/($B$59/(A103*$B$60+$B$61))&lt;Helper_calcs!$B$34,loop_gain!$B$48/Helper_calcs!$B$34,$B$59/(A103*$B$60+$B$61))</f>
        <v>8333333.333333334</v>
      </c>
      <c r="F103" s="149">
        <f>IF(C103="DCM",IF(B103&lt;loop_gain!$B$18,PFM_auto!B103,loop_gain!$B$18),IF(PFM_auto!D103&lt;loop_gain!$B$18,PFM_auto!D103,loop_gain!$B$18))</f>
        <v>2100000</v>
      </c>
      <c r="H103" s="156"/>
    </row>
    <row r="108" spans="1:8" x14ac:dyDescent="0.25">
      <c r="A108" s="158">
        <f>A65*1000</f>
        <v>0.1</v>
      </c>
      <c r="B108" s="149">
        <f>F65</f>
        <v>218.2316997131812</v>
      </c>
    </row>
    <row r="109" spans="1:8" x14ac:dyDescent="0.25">
      <c r="A109" s="158">
        <f t="shared" ref="A109:A146" si="8">A66*1000</f>
        <v>0.2</v>
      </c>
      <c r="B109" s="149">
        <f t="shared" ref="B109:B146" si="9">F66</f>
        <v>436.4633994263624</v>
      </c>
    </row>
    <row r="110" spans="1:8" x14ac:dyDescent="0.25">
      <c r="A110" s="158">
        <f t="shared" si="8"/>
        <v>0.3</v>
      </c>
      <c r="B110" s="149">
        <f t="shared" si="9"/>
        <v>654.69509913954357</v>
      </c>
    </row>
    <row r="111" spans="1:8" x14ac:dyDescent="0.25">
      <c r="A111" s="158">
        <f t="shared" si="8"/>
        <v>0.4</v>
      </c>
      <c r="B111" s="149">
        <f t="shared" si="9"/>
        <v>872.9267988527248</v>
      </c>
    </row>
    <row r="112" spans="1:8" x14ac:dyDescent="0.25">
      <c r="A112" s="158">
        <f t="shared" si="8"/>
        <v>0.5</v>
      </c>
      <c r="B112" s="149">
        <f t="shared" si="9"/>
        <v>1091.158498565906</v>
      </c>
    </row>
    <row r="113" spans="1:2" x14ac:dyDescent="0.25">
      <c r="A113" s="158">
        <f t="shared" si="8"/>
        <v>0.6</v>
      </c>
      <c r="B113" s="149">
        <f t="shared" si="9"/>
        <v>1309.3901982790871</v>
      </c>
    </row>
    <row r="114" spans="1:2" x14ac:dyDescent="0.25">
      <c r="A114" s="158">
        <f t="shared" si="8"/>
        <v>0.7</v>
      </c>
      <c r="B114" s="149">
        <f t="shared" si="9"/>
        <v>1527.6218979922683</v>
      </c>
    </row>
    <row r="115" spans="1:2" x14ac:dyDescent="0.25">
      <c r="A115" s="158">
        <f t="shared" si="8"/>
        <v>0.8</v>
      </c>
      <c r="B115" s="149">
        <f t="shared" si="9"/>
        <v>1745.8535977054496</v>
      </c>
    </row>
    <row r="116" spans="1:2" x14ac:dyDescent="0.25">
      <c r="A116" s="158">
        <f t="shared" si="8"/>
        <v>0.9</v>
      </c>
      <c r="B116" s="149">
        <f t="shared" si="9"/>
        <v>1964.0852974186307</v>
      </c>
    </row>
    <row r="117" spans="1:2" x14ac:dyDescent="0.25">
      <c r="A117" s="158">
        <f t="shared" si="8"/>
        <v>1</v>
      </c>
      <c r="B117" s="149">
        <f t="shared" si="9"/>
        <v>2182.3169971318121</v>
      </c>
    </row>
    <row r="118" spans="1:2" x14ac:dyDescent="0.25">
      <c r="A118" s="158">
        <f t="shared" si="8"/>
        <v>2</v>
      </c>
      <c r="B118" s="149">
        <f t="shared" si="9"/>
        <v>4364.6339942636241</v>
      </c>
    </row>
    <row r="119" spans="1:2" x14ac:dyDescent="0.25">
      <c r="A119" s="158">
        <f t="shared" si="8"/>
        <v>3</v>
      </c>
      <c r="B119" s="149">
        <f t="shared" si="9"/>
        <v>6546.9509913954362</v>
      </c>
    </row>
    <row r="120" spans="1:2" x14ac:dyDescent="0.25">
      <c r="A120" s="158">
        <f t="shared" si="8"/>
        <v>4</v>
      </c>
      <c r="B120" s="149">
        <f t="shared" si="9"/>
        <v>8729.2679885272482</v>
      </c>
    </row>
    <row r="121" spans="1:2" x14ac:dyDescent="0.25">
      <c r="A121" s="158">
        <f t="shared" si="8"/>
        <v>5</v>
      </c>
      <c r="B121" s="149">
        <f t="shared" si="9"/>
        <v>10911.584985659059</v>
      </c>
    </row>
    <row r="122" spans="1:2" x14ac:dyDescent="0.25">
      <c r="A122" s="158">
        <f t="shared" si="8"/>
        <v>6</v>
      </c>
      <c r="B122" s="149">
        <f t="shared" si="9"/>
        <v>13093.901982790872</v>
      </c>
    </row>
    <row r="123" spans="1:2" x14ac:dyDescent="0.25">
      <c r="A123" s="158">
        <f t="shared" si="8"/>
        <v>7</v>
      </c>
      <c r="B123" s="149">
        <f t="shared" si="9"/>
        <v>15276.218979922684</v>
      </c>
    </row>
    <row r="124" spans="1:2" x14ac:dyDescent="0.25">
      <c r="A124" s="158">
        <f t="shared" si="8"/>
        <v>8</v>
      </c>
      <c r="B124" s="149">
        <f t="shared" si="9"/>
        <v>17458.535977054496</v>
      </c>
    </row>
    <row r="125" spans="1:2" x14ac:dyDescent="0.25">
      <c r="A125" s="158">
        <f t="shared" si="8"/>
        <v>9.0000000000000018</v>
      </c>
      <c r="B125" s="149">
        <f t="shared" si="9"/>
        <v>19640.852974186309</v>
      </c>
    </row>
    <row r="126" spans="1:2" x14ac:dyDescent="0.25">
      <c r="A126" s="158">
        <f t="shared" si="8"/>
        <v>10.000000000000002</v>
      </c>
      <c r="B126" s="149">
        <f t="shared" si="9"/>
        <v>21823.169971318122</v>
      </c>
    </row>
    <row r="127" spans="1:2" x14ac:dyDescent="0.25">
      <c r="A127" s="158">
        <f t="shared" si="8"/>
        <v>20.000000000000004</v>
      </c>
      <c r="B127" s="149">
        <f t="shared" si="9"/>
        <v>43646.339942636245</v>
      </c>
    </row>
    <row r="128" spans="1:2" x14ac:dyDescent="0.25">
      <c r="A128" s="158">
        <f t="shared" si="8"/>
        <v>30.000000000000007</v>
      </c>
      <c r="B128" s="149">
        <f t="shared" si="9"/>
        <v>65469.509913954367</v>
      </c>
    </row>
    <row r="129" spans="1:2" x14ac:dyDescent="0.25">
      <c r="A129" s="158">
        <f t="shared" si="8"/>
        <v>40.000000000000007</v>
      </c>
      <c r="B129" s="149">
        <f t="shared" si="9"/>
        <v>87292.67988527249</v>
      </c>
    </row>
    <row r="130" spans="1:2" x14ac:dyDescent="0.25">
      <c r="A130" s="158">
        <f t="shared" si="8"/>
        <v>50.000000000000007</v>
      </c>
      <c r="B130" s="149">
        <f t="shared" si="9"/>
        <v>109115.84985659062</v>
      </c>
    </row>
    <row r="131" spans="1:2" x14ac:dyDescent="0.25">
      <c r="A131" s="158">
        <f t="shared" si="8"/>
        <v>60.000000000000014</v>
      </c>
      <c r="B131" s="149">
        <f t="shared" si="9"/>
        <v>130939.01982790873</v>
      </c>
    </row>
    <row r="132" spans="1:2" x14ac:dyDescent="0.25">
      <c r="A132" s="158">
        <f t="shared" si="8"/>
        <v>70</v>
      </c>
      <c r="B132" s="149">
        <f t="shared" si="9"/>
        <v>152762.18979922685</v>
      </c>
    </row>
    <row r="133" spans="1:2" x14ac:dyDescent="0.25">
      <c r="A133" s="158">
        <f t="shared" si="8"/>
        <v>80</v>
      </c>
      <c r="B133" s="149">
        <f t="shared" si="9"/>
        <v>174585.35977054495</v>
      </c>
    </row>
    <row r="134" spans="1:2" x14ac:dyDescent="0.25">
      <c r="A134" s="158">
        <f t="shared" si="8"/>
        <v>90</v>
      </c>
      <c r="B134" s="149">
        <f t="shared" si="9"/>
        <v>196408.52974186308</v>
      </c>
    </row>
    <row r="135" spans="1:2" x14ac:dyDescent="0.25">
      <c r="A135" s="158">
        <f t="shared" si="8"/>
        <v>99.999999999999986</v>
      </c>
      <c r="B135" s="149">
        <f t="shared" si="9"/>
        <v>218231.69971318118</v>
      </c>
    </row>
    <row r="136" spans="1:2" x14ac:dyDescent="0.25">
      <c r="A136" s="158">
        <f t="shared" si="8"/>
        <v>200</v>
      </c>
      <c r="B136" s="149">
        <f t="shared" si="9"/>
        <v>436463.39942636242</v>
      </c>
    </row>
    <row r="137" spans="1:2" x14ac:dyDescent="0.25">
      <c r="A137" s="158">
        <f t="shared" si="8"/>
        <v>300.00000000000006</v>
      </c>
      <c r="B137" s="149">
        <f t="shared" si="9"/>
        <v>654695.09913954372</v>
      </c>
    </row>
    <row r="138" spans="1:2" x14ac:dyDescent="0.25">
      <c r="A138" s="158">
        <f t="shared" si="8"/>
        <v>400</v>
      </c>
      <c r="B138" s="149">
        <f t="shared" si="9"/>
        <v>872926.79885272484</v>
      </c>
    </row>
    <row r="139" spans="1:2" x14ac:dyDescent="0.25">
      <c r="A139" s="158">
        <f t="shared" si="8"/>
        <v>500</v>
      </c>
      <c r="B139" s="149">
        <f t="shared" si="9"/>
        <v>1022700.4653756239</v>
      </c>
    </row>
    <row r="140" spans="1:2" x14ac:dyDescent="0.25">
      <c r="A140" s="158">
        <f t="shared" si="8"/>
        <v>600</v>
      </c>
      <c r="B140" s="149">
        <f t="shared" si="9"/>
        <v>1115027.5907220345</v>
      </c>
    </row>
    <row r="141" spans="1:2" x14ac:dyDescent="0.25">
      <c r="A141" s="158">
        <f t="shared" si="8"/>
        <v>700</v>
      </c>
      <c r="B141" s="149">
        <f t="shared" si="9"/>
        <v>1225679.1836944502</v>
      </c>
    </row>
    <row r="142" spans="1:2" x14ac:dyDescent="0.25">
      <c r="A142" s="158">
        <f t="shared" si="8"/>
        <v>799.99999999999989</v>
      </c>
      <c r="B142" s="149">
        <f t="shared" si="9"/>
        <v>1360711.636135364</v>
      </c>
    </row>
    <row r="143" spans="1:2" x14ac:dyDescent="0.25">
      <c r="A143" s="158">
        <f t="shared" si="8"/>
        <v>899.99999999999989</v>
      </c>
      <c r="B143" s="149">
        <f t="shared" si="9"/>
        <v>1529180.6958473613</v>
      </c>
    </row>
    <row r="144" spans="1:2" x14ac:dyDescent="0.25">
      <c r="A144" s="158">
        <f t="shared" si="8"/>
        <v>999.99999999999989</v>
      </c>
      <c r="B144" s="149">
        <f t="shared" si="9"/>
        <v>1745260.5767823143</v>
      </c>
    </row>
    <row r="145" spans="1:2" x14ac:dyDescent="0.25">
      <c r="A145" s="158">
        <f t="shared" si="8"/>
        <v>2000</v>
      </c>
      <c r="B145" s="149">
        <f t="shared" si="9"/>
        <v>2100000</v>
      </c>
    </row>
    <row r="146" spans="1:2" x14ac:dyDescent="0.25">
      <c r="A146" s="158">
        <f t="shared" si="8"/>
        <v>3000</v>
      </c>
      <c r="B146" s="149">
        <f t="shared" si="9"/>
        <v>2100000</v>
      </c>
    </row>
    <row r="147" spans="1:2" x14ac:dyDescent="0.25">
      <c r="A147" s="153"/>
    </row>
    <row r="148" spans="1:2" x14ac:dyDescent="0.25">
      <c r="A148" s="153"/>
    </row>
    <row r="149" spans="1:2" x14ac:dyDescent="0.25">
      <c r="A149" s="153"/>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7:D99"/>
  <sheetViews>
    <sheetView topLeftCell="A7" workbookViewId="0">
      <selection activeCell="C20" sqref="C20"/>
    </sheetView>
  </sheetViews>
  <sheetFormatPr defaultRowHeight="15.75" x14ac:dyDescent="0.25"/>
  <cols>
    <col min="1" max="1" width="17" customWidth="1"/>
    <col min="2" max="2" width="16.5" customWidth="1"/>
    <col min="3" max="3" width="13.25" customWidth="1"/>
    <col min="4" max="4" width="14" customWidth="1"/>
  </cols>
  <sheetData>
    <row r="7" spans="1:2" x14ac:dyDescent="0.25">
      <c r="A7" s="146">
        <v>43969</v>
      </c>
    </row>
    <row r="11" spans="1:2" x14ac:dyDescent="0.25">
      <c r="A11" t="s">
        <v>203</v>
      </c>
      <c r="B11" s="160">
        <f>Helper_calcs!B38</f>
        <v>0.105</v>
      </c>
    </row>
    <row r="12" spans="1:2" x14ac:dyDescent="0.25">
      <c r="A12" t="s">
        <v>204</v>
      </c>
      <c r="B12" s="160">
        <f>Helper_calcs!B39</f>
        <v>0.79</v>
      </c>
    </row>
    <row r="13" spans="1:2" x14ac:dyDescent="0.25">
      <c r="A13" t="s">
        <v>205</v>
      </c>
      <c r="B13" s="160">
        <f>Helper_calcs!B40</f>
        <v>0.9859154929577465</v>
      </c>
    </row>
    <row r="19" spans="1:4" x14ac:dyDescent="0.25">
      <c r="A19" s="67" t="s">
        <v>260</v>
      </c>
      <c r="B19" s="67" t="s">
        <v>56</v>
      </c>
      <c r="C19" s="63" t="s">
        <v>259</v>
      </c>
      <c r="D19" s="63" t="s">
        <v>261</v>
      </c>
    </row>
    <row r="20" spans="1:4" x14ac:dyDescent="0.25">
      <c r="A20">
        <v>3.5</v>
      </c>
      <c r="B20" s="159">
        <f>(Main!$B$19+Main!$B$20*((Main!$B$55/1000)+Helper_calcs!$B$31))/(Freq_fold!A20-Main!$B$20*(Helper_calcs!$B$30-Helper_calcs!$B$31))</f>
        <v>1.5358187134502925</v>
      </c>
      <c r="C20" s="149">
        <f>IF(B20&gt;$B$12,IF(B20&gt;$B$13,1/(Helper_calcs!$B$36+Helper_calcs!$B$35),(1-Freq_fold!B20)/Helper_calcs!$B$35),IF(Freq_fold!B20&lt;Freq_fold!$B$11,Freq_fold!B20/Helper_calcs!$B$34,loop_gain!$B$18))</f>
        <v>140845.07042253521</v>
      </c>
      <c r="D20" s="149">
        <f>C20/1000</f>
        <v>140.8450704225352</v>
      </c>
    </row>
    <row r="21" spans="1:4" x14ac:dyDescent="0.25">
      <c r="A21">
        <f>A20+0.1</f>
        <v>3.6</v>
      </c>
      <c r="B21" s="159">
        <f>(Main!$B$19+Main!$B$20*((Main!$B$55/1000)+Helper_calcs!$B$31))/(Freq_fold!A21-Main!$B$20*(Helper_calcs!$B$30-Helper_calcs!$B$31))</f>
        <v>1.4921875</v>
      </c>
      <c r="C21" s="149">
        <f>IF(B21&gt;$B$12,IF(B21&gt;$B$13,1/(Helper_calcs!$B$36+Helper_calcs!$B$35),(1-Freq_fold!B21)/Helper_calcs!$B$35),IF(Freq_fold!B21&lt;Freq_fold!$B$11,Freq_fold!B21/Helper_calcs!$B$34,loop_gain!$B$18))</f>
        <v>140845.07042253521</v>
      </c>
      <c r="D21" s="149">
        <f t="shared" ref="D21:D84" si="0">C21/1000</f>
        <v>140.8450704225352</v>
      </c>
    </row>
    <row r="22" spans="1:4" x14ac:dyDescent="0.25">
      <c r="A22">
        <f t="shared" ref="A22:A45" si="1">A21+0.1</f>
        <v>3.7</v>
      </c>
      <c r="B22" s="159">
        <f>(Main!$B$19+Main!$B$20*((Main!$B$55/1000)+Helper_calcs!$B$31))/(Freq_fold!A22-Main!$B$20*(Helper_calcs!$B$30-Helper_calcs!$B$31))</f>
        <v>1.4509668508287294</v>
      </c>
      <c r="C22" s="149">
        <f>IF(B22&gt;$B$12,IF(B22&gt;$B$13,1/(Helper_calcs!$B$36+Helper_calcs!$B$35),(1-Freq_fold!B22)/Helper_calcs!$B$35),IF(Freq_fold!B22&lt;Freq_fold!$B$11,Freq_fold!B22/Helper_calcs!$B$34,loop_gain!$B$18))</f>
        <v>140845.07042253521</v>
      </c>
      <c r="D22" s="149">
        <f t="shared" si="0"/>
        <v>140.8450704225352</v>
      </c>
    </row>
    <row r="23" spans="1:4" x14ac:dyDescent="0.25">
      <c r="A23">
        <f t="shared" si="1"/>
        <v>3.8000000000000003</v>
      </c>
      <c r="B23" s="159">
        <f>(Main!$B$19+Main!$B$20*((Main!$B$55/1000)+Helper_calcs!$B$31))/(Freq_fold!A23-Main!$B$20*(Helper_calcs!$B$30-Helper_calcs!$B$31))</f>
        <v>1.411962365591398</v>
      </c>
      <c r="C23" s="149">
        <f>IF(B23&gt;$B$12,IF(B23&gt;$B$13,1/(Helper_calcs!$B$36+Helper_calcs!$B$35),(1-Freq_fold!B23)/Helper_calcs!$B$35),IF(Freq_fold!B23&lt;Freq_fold!$B$11,Freq_fold!B23/Helper_calcs!$B$34,loop_gain!$B$18))</f>
        <v>140845.07042253521</v>
      </c>
      <c r="D23" s="149">
        <f t="shared" si="0"/>
        <v>140.8450704225352</v>
      </c>
    </row>
    <row r="24" spans="1:4" x14ac:dyDescent="0.25">
      <c r="A24">
        <f t="shared" si="1"/>
        <v>3.9000000000000004</v>
      </c>
      <c r="B24" s="159">
        <f>(Main!$B$19+Main!$B$20*((Main!$B$55/1000)+Helper_calcs!$B$31))/(Freq_fold!A24-Main!$B$20*(Helper_calcs!$B$30-Helper_calcs!$B$31))</f>
        <v>1.375</v>
      </c>
      <c r="C24" s="149">
        <f>IF(B24&gt;$B$12,IF(B24&gt;$B$13,1/(Helper_calcs!$B$36+Helper_calcs!$B$35),(1-Freq_fold!B24)/Helper_calcs!$B$35),IF(Freq_fold!B24&lt;Freq_fold!$B$11,Freq_fold!B24/Helper_calcs!$B$34,loop_gain!$B$18))</f>
        <v>140845.07042253521</v>
      </c>
      <c r="D24" s="149">
        <f t="shared" si="0"/>
        <v>140.8450704225352</v>
      </c>
    </row>
    <row r="25" spans="1:4" x14ac:dyDescent="0.25">
      <c r="A25">
        <f t="shared" si="1"/>
        <v>4</v>
      </c>
      <c r="B25" s="159">
        <f>(Main!$B$19+Main!$B$20*((Main!$B$55/1000)+Helper_calcs!$B$31))/(Freq_fold!A25-Main!$B$20*(Helper_calcs!$B$30-Helper_calcs!$B$31))</f>
        <v>1.3399234693877553</v>
      </c>
      <c r="C25" s="149">
        <f>IF(B25&gt;$B$12,IF(B25&gt;$B$13,1/(Helper_calcs!$B$36+Helper_calcs!$B$35),(1-Freq_fold!B25)/Helper_calcs!$B$35),IF(Freq_fold!B25&lt;Freq_fold!$B$11,Freq_fold!B25/Helper_calcs!$B$34,loop_gain!$B$18))</f>
        <v>140845.07042253521</v>
      </c>
      <c r="D25" s="149">
        <f t="shared" si="0"/>
        <v>140.8450704225352</v>
      </c>
    </row>
    <row r="26" spans="1:4" x14ac:dyDescent="0.25">
      <c r="A26">
        <f t="shared" si="1"/>
        <v>4.0999999999999996</v>
      </c>
      <c r="B26" s="159">
        <f>(Main!$B$19+Main!$B$20*((Main!$B$55/1000)+Helper_calcs!$B$31))/(Freq_fold!A26-Main!$B$20*(Helper_calcs!$B$30-Helper_calcs!$B$31))</f>
        <v>1.3065920398009954</v>
      </c>
      <c r="C26" s="149">
        <f>IF(B26&gt;$B$12,IF(B26&gt;$B$13,1/(Helper_calcs!$B$36+Helper_calcs!$B$35),(1-Freq_fold!B26)/Helper_calcs!$B$35),IF(Freq_fold!B26&lt;Freq_fold!$B$11,Freq_fold!B26/Helper_calcs!$B$34,loop_gain!$B$18))</f>
        <v>140845.07042253521</v>
      </c>
      <c r="D26" s="149">
        <f t="shared" si="0"/>
        <v>140.8450704225352</v>
      </c>
    </row>
    <row r="27" spans="1:4" x14ac:dyDescent="0.25">
      <c r="A27">
        <f t="shared" si="1"/>
        <v>4.1999999999999993</v>
      </c>
      <c r="B27" s="159">
        <f>(Main!$B$19+Main!$B$20*((Main!$B$55/1000)+Helper_calcs!$B$31))/(Freq_fold!A27-Main!$B$20*(Helper_calcs!$B$30-Helper_calcs!$B$31))</f>
        <v>1.2748786407766994</v>
      </c>
      <c r="C27" s="149">
        <f>IF(B27&gt;$B$12,IF(B27&gt;$B$13,1/(Helper_calcs!$B$36+Helper_calcs!$B$35),(1-Freq_fold!B27)/Helper_calcs!$B$35),IF(Freq_fold!B27&lt;Freq_fold!$B$11,Freq_fold!B27/Helper_calcs!$B$34,loop_gain!$B$18))</f>
        <v>140845.07042253521</v>
      </c>
      <c r="D27" s="149">
        <f t="shared" si="0"/>
        <v>140.8450704225352</v>
      </c>
    </row>
    <row r="28" spans="1:4" x14ac:dyDescent="0.25">
      <c r="A28">
        <f t="shared" si="1"/>
        <v>4.2999999999999989</v>
      </c>
      <c r="B28" s="159">
        <f>(Main!$B$19+Main!$B$20*((Main!$B$55/1000)+Helper_calcs!$B$31))/(Freq_fold!A28-Main!$B$20*(Helper_calcs!$B$30-Helper_calcs!$B$31))</f>
        <v>1.2446682464454981</v>
      </c>
      <c r="C28" s="149">
        <f>IF(B28&gt;$B$12,IF(B28&gt;$B$13,1/(Helper_calcs!$B$36+Helper_calcs!$B$35),(1-Freq_fold!B28)/Helper_calcs!$B$35),IF(Freq_fold!B28&lt;Freq_fold!$B$11,Freq_fold!B28/Helper_calcs!$B$34,loop_gain!$B$18))</f>
        <v>140845.07042253521</v>
      </c>
      <c r="D28" s="149">
        <f t="shared" si="0"/>
        <v>140.8450704225352</v>
      </c>
    </row>
    <row r="29" spans="1:4" x14ac:dyDescent="0.25">
      <c r="A29">
        <f t="shared" si="1"/>
        <v>4.3999999999999986</v>
      </c>
      <c r="B29" s="159">
        <f>(Main!$B$19+Main!$B$20*((Main!$B$55/1000)+Helper_calcs!$B$31))/(Freq_fold!A29-Main!$B$20*(Helper_calcs!$B$30-Helper_calcs!$B$31))</f>
        <v>1.2158564814814821</v>
      </c>
      <c r="C29" s="149">
        <f>IF(B29&gt;$B$12,IF(B29&gt;$B$13,1/(Helper_calcs!$B$36+Helper_calcs!$B$35),(1-Freq_fold!B29)/Helper_calcs!$B$35),IF(Freq_fold!B29&lt;Freq_fold!$B$11,Freq_fold!B29/Helper_calcs!$B$34,loop_gain!$B$18))</f>
        <v>140845.07042253521</v>
      </c>
      <c r="D29" s="149">
        <f t="shared" si="0"/>
        <v>140.8450704225352</v>
      </c>
    </row>
    <row r="30" spans="1:4" x14ac:dyDescent="0.25">
      <c r="A30">
        <f t="shared" si="1"/>
        <v>4.4999999999999982</v>
      </c>
      <c r="B30" s="159">
        <f>(Main!$B$19+Main!$B$20*((Main!$B$55/1000)+Helper_calcs!$B$31))/(Freq_fold!A30-Main!$B$20*(Helper_calcs!$B$30-Helper_calcs!$B$31))</f>
        <v>1.1883484162895934</v>
      </c>
      <c r="C30" s="149">
        <f>IF(B30&gt;$B$12,IF(B30&gt;$B$13,1/(Helper_calcs!$B$36+Helper_calcs!$B$35),(1-Freq_fold!B30)/Helper_calcs!$B$35),IF(Freq_fold!B30&lt;Freq_fold!$B$11,Freq_fold!B30/Helper_calcs!$B$34,loop_gain!$B$18))</f>
        <v>140845.07042253521</v>
      </c>
      <c r="D30" s="149">
        <f t="shared" si="0"/>
        <v>140.8450704225352</v>
      </c>
    </row>
    <row r="31" spans="1:4" x14ac:dyDescent="0.25">
      <c r="A31">
        <f t="shared" si="1"/>
        <v>4.5999999999999979</v>
      </c>
      <c r="B31" s="159">
        <f>(Main!$B$19+Main!$B$20*((Main!$B$55/1000)+Helper_calcs!$B$31))/(Freq_fold!A31-Main!$B$20*(Helper_calcs!$B$30-Helper_calcs!$B$31))</f>
        <v>1.1620575221238945</v>
      </c>
      <c r="C31" s="149">
        <f>IF(B31&gt;$B$12,IF(B31&gt;$B$13,1/(Helper_calcs!$B$36+Helper_calcs!$B$35),(1-Freq_fold!B31)/Helper_calcs!$B$35),IF(Freq_fold!B31&lt;Freq_fold!$B$11,Freq_fold!B31/Helper_calcs!$B$34,loop_gain!$B$18))</f>
        <v>140845.07042253521</v>
      </c>
      <c r="D31" s="149">
        <f t="shared" si="0"/>
        <v>140.8450704225352</v>
      </c>
    </row>
    <row r="32" spans="1:4" x14ac:dyDescent="0.25">
      <c r="A32">
        <f t="shared" si="1"/>
        <v>4.6999999999999975</v>
      </c>
      <c r="B32" s="159">
        <f>(Main!$B$19+Main!$B$20*((Main!$B$55/1000)+Helper_calcs!$B$31))/(Freq_fold!A32-Main!$B$20*(Helper_calcs!$B$30-Helper_calcs!$B$31))</f>
        <v>1.1369047619047625</v>
      </c>
      <c r="C32" s="149">
        <f>IF(B32&gt;$B$12,IF(B32&gt;$B$13,1/(Helper_calcs!$B$36+Helper_calcs!$B$35),(1-Freq_fold!B32)/Helper_calcs!$B$35),IF(Freq_fold!B32&lt;Freq_fold!$B$11,Freq_fold!B32/Helper_calcs!$B$34,loop_gain!$B$18))</f>
        <v>140845.07042253521</v>
      </c>
      <c r="D32" s="149">
        <f t="shared" si="0"/>
        <v>140.8450704225352</v>
      </c>
    </row>
    <row r="33" spans="1:4" x14ac:dyDescent="0.25">
      <c r="A33">
        <f t="shared" si="1"/>
        <v>4.7999999999999972</v>
      </c>
      <c r="B33" s="159">
        <f>(Main!$B$19+Main!$B$20*((Main!$B$55/1000)+Helper_calcs!$B$31))/(Freq_fold!A33-Main!$B$20*(Helper_calcs!$B$30-Helper_calcs!$B$31))</f>
        <v>1.1128177966101702</v>
      </c>
      <c r="C33" s="149">
        <f>IF(B33&gt;$B$12,IF(B33&gt;$B$13,1/(Helper_calcs!$B$36+Helper_calcs!$B$35),(1-Freq_fold!B33)/Helper_calcs!$B$35),IF(Freq_fold!B33&lt;Freq_fold!$B$11,Freq_fold!B33/Helper_calcs!$B$34,loop_gain!$B$18))</f>
        <v>140845.07042253521</v>
      </c>
      <c r="D33" s="149">
        <f t="shared" si="0"/>
        <v>140.8450704225352</v>
      </c>
    </row>
    <row r="34" spans="1:4" x14ac:dyDescent="0.25">
      <c r="A34">
        <f t="shared" si="1"/>
        <v>4.8999999999999968</v>
      </c>
      <c r="B34" s="159">
        <f>(Main!$B$19+Main!$B$20*((Main!$B$55/1000)+Helper_calcs!$B$31))/(Freq_fold!A34-Main!$B$20*(Helper_calcs!$B$30-Helper_calcs!$B$31))</f>
        <v>1.0897302904564323</v>
      </c>
      <c r="C34" s="149">
        <f>IF(B34&gt;$B$12,IF(B34&gt;$B$13,1/(Helper_calcs!$B$36+Helper_calcs!$B$35),(1-Freq_fold!B34)/Helper_calcs!$B$35),IF(Freq_fold!B34&lt;Freq_fold!$B$11,Freq_fold!B34/Helper_calcs!$B$34,loop_gain!$B$18))</f>
        <v>140845.07042253521</v>
      </c>
      <c r="D34" s="149">
        <f t="shared" si="0"/>
        <v>140.8450704225352</v>
      </c>
    </row>
    <row r="35" spans="1:4" x14ac:dyDescent="0.25">
      <c r="A35">
        <f t="shared" si="1"/>
        <v>4.9999999999999964</v>
      </c>
      <c r="B35" s="159">
        <f>(Main!$B$19+Main!$B$20*((Main!$B$55/1000)+Helper_calcs!$B$31))/(Freq_fold!A35-Main!$B$20*(Helper_calcs!$B$30-Helper_calcs!$B$31))</f>
        <v>1.0675813008130091</v>
      </c>
      <c r="C35" s="149">
        <f>IF(B35&gt;$B$12,IF(B35&gt;$B$13,1/(Helper_calcs!$B$36+Helper_calcs!$B$35),(1-Freq_fold!B35)/Helper_calcs!$B$35),IF(Freq_fold!B35&lt;Freq_fold!$B$11,Freq_fold!B35/Helper_calcs!$B$34,loop_gain!$B$18))</f>
        <v>140845.07042253521</v>
      </c>
      <c r="D35" s="149">
        <f t="shared" si="0"/>
        <v>140.8450704225352</v>
      </c>
    </row>
    <row r="36" spans="1:4" x14ac:dyDescent="0.25">
      <c r="A36">
        <f t="shared" si="1"/>
        <v>5.0999999999999961</v>
      </c>
      <c r="B36" s="159">
        <f>(Main!$B$19+Main!$B$20*((Main!$B$55/1000)+Helper_calcs!$B$31))/(Freq_fold!A36-Main!$B$20*(Helper_calcs!$B$30-Helper_calcs!$B$31))</f>
        <v>1.0463147410358575</v>
      </c>
      <c r="C36" s="149">
        <f>IF(B36&gt;$B$12,IF(B36&gt;$B$13,1/(Helper_calcs!$B$36+Helper_calcs!$B$35),(1-Freq_fold!B36)/Helper_calcs!$B$35),IF(Freq_fold!B36&lt;Freq_fold!$B$11,Freq_fold!B36/Helper_calcs!$B$34,loop_gain!$B$18))</f>
        <v>140845.07042253521</v>
      </c>
      <c r="D36" s="149">
        <f t="shared" si="0"/>
        <v>140.8450704225352</v>
      </c>
    </row>
    <row r="37" spans="1:4" x14ac:dyDescent="0.25">
      <c r="A37">
        <f t="shared" si="1"/>
        <v>5.1999999999999957</v>
      </c>
      <c r="B37" s="159">
        <f>(Main!$B$19+Main!$B$20*((Main!$B$55/1000)+Helper_calcs!$B$31))/(Freq_fold!A37-Main!$B$20*(Helper_calcs!$B$30-Helper_calcs!$B$31))</f>
        <v>1.0258789062500009</v>
      </c>
      <c r="C37" s="149">
        <f>IF(B37&gt;$B$12,IF(B37&gt;$B$13,1/(Helper_calcs!$B$36+Helper_calcs!$B$35),(1-Freq_fold!B37)/Helper_calcs!$B$35),IF(Freq_fold!B37&lt;Freq_fold!$B$11,Freq_fold!B37/Helper_calcs!$B$34,loop_gain!$B$18))</f>
        <v>140845.07042253521</v>
      </c>
      <c r="D37" s="149">
        <f t="shared" si="0"/>
        <v>140.8450704225352</v>
      </c>
    </row>
    <row r="38" spans="1:4" x14ac:dyDescent="0.25">
      <c r="A38">
        <f t="shared" si="1"/>
        <v>5.2999999999999954</v>
      </c>
      <c r="B38" s="159">
        <f>(Main!$B$19+Main!$B$20*((Main!$B$55/1000)+Helper_calcs!$B$31))/(Freq_fold!A38-Main!$B$20*(Helper_calcs!$B$30-Helper_calcs!$B$31))</f>
        <v>1.0062260536398477</v>
      </c>
      <c r="C38" s="149">
        <f>IF(B38&gt;$B$12,IF(B38&gt;$B$13,1/(Helper_calcs!$B$36+Helper_calcs!$B$35),(1-Freq_fold!B38)/Helper_calcs!$B$35),IF(Freq_fold!B38&lt;Freq_fold!$B$11,Freq_fold!B38/Helper_calcs!$B$34,loop_gain!$B$18))</f>
        <v>140845.07042253521</v>
      </c>
      <c r="D38" s="149">
        <f t="shared" si="0"/>
        <v>140.8450704225352</v>
      </c>
    </row>
    <row r="39" spans="1:4" x14ac:dyDescent="0.25">
      <c r="A39">
        <f t="shared" si="1"/>
        <v>5.399999999999995</v>
      </c>
      <c r="B39" s="159">
        <f>(Main!$B$19+Main!$B$20*((Main!$B$55/1000)+Helper_calcs!$B$31))/(Freq_fold!A39-Main!$B$20*(Helper_calcs!$B$30-Helper_calcs!$B$31))</f>
        <v>0.98731203007518897</v>
      </c>
      <c r="C39" s="149">
        <f>IF(B39&gt;$B$12,IF(B39&gt;$B$13,1/(Helper_calcs!$B$36+Helper_calcs!$B$35),(1-Freq_fold!B39)/Helper_calcs!$B$35),IF(Freq_fold!B39&lt;Freq_fold!$B$11,Freq_fold!B39/Helper_calcs!$B$34,loop_gain!$B$18))</f>
        <v>140845.07042253521</v>
      </c>
      <c r="D39" s="149">
        <f t="shared" si="0"/>
        <v>140.8450704225352</v>
      </c>
    </row>
    <row r="40" spans="1:4" x14ac:dyDescent="0.25">
      <c r="A40">
        <f t="shared" si="1"/>
        <v>5.4999999999999947</v>
      </c>
      <c r="B40" s="159">
        <f>(Main!$B$19+Main!$B$20*((Main!$B$55/1000)+Helper_calcs!$B$31))/(Freq_fold!A40-Main!$B$20*(Helper_calcs!$B$30-Helper_calcs!$B$31))</f>
        <v>0.96909594095941065</v>
      </c>
      <c r="C40" s="149">
        <f>IF(B40&gt;$B$12,IF(B40&gt;$B$13,1/(Helper_calcs!$B$36+Helper_calcs!$B$35),(1-Freq_fold!B40)/Helper_calcs!$B$35),IF(Freq_fold!B40&lt;Freq_fold!$B$11,Freq_fold!B40/Helper_calcs!$B$34,loop_gain!$B$18))</f>
        <v>309040.59040589351</v>
      </c>
      <c r="D40" s="149">
        <f t="shared" si="0"/>
        <v>309.04059040589351</v>
      </c>
    </row>
    <row r="41" spans="1:4" x14ac:dyDescent="0.25">
      <c r="A41">
        <f t="shared" si="1"/>
        <v>5.5999999999999943</v>
      </c>
      <c r="B41" s="159">
        <f>(Main!$B$19+Main!$B$20*((Main!$B$55/1000)+Helper_calcs!$B$31))/(Freq_fold!A41-Main!$B$20*(Helper_calcs!$B$30-Helper_calcs!$B$31))</f>
        <v>0.95153985507246486</v>
      </c>
      <c r="C41" s="149">
        <f>IF(B41&gt;$B$12,IF(B41&gt;$B$13,1/(Helper_calcs!$B$36+Helper_calcs!$B$35),(1-Freq_fold!B41)/Helper_calcs!$B$35),IF(Freq_fold!B41&lt;Freq_fold!$B$11,Freq_fold!B41/Helper_calcs!$B$34,loop_gain!$B$18))</f>
        <v>484601.44927535142</v>
      </c>
      <c r="D41" s="149">
        <f t="shared" si="0"/>
        <v>484.6014492753514</v>
      </c>
    </row>
    <row r="42" spans="1:4" x14ac:dyDescent="0.25">
      <c r="A42">
        <f t="shared" si="1"/>
        <v>5.699999999999994</v>
      </c>
      <c r="B42" s="159">
        <f>(Main!$B$19+Main!$B$20*((Main!$B$55/1000)+Helper_calcs!$B$31))/(Freq_fold!A42-Main!$B$20*(Helper_calcs!$B$30-Helper_calcs!$B$31))</f>
        <v>0.93460854092526802</v>
      </c>
      <c r="C42" s="149">
        <f>IF(B42&gt;$B$12,IF(B42&gt;$B$13,1/(Helper_calcs!$B$36+Helper_calcs!$B$35),(1-Freq_fold!B42)/Helper_calcs!$B$35),IF(Freq_fold!B42&lt;Freq_fold!$B$11,Freq_fold!B42/Helper_calcs!$B$34,loop_gain!$B$18))</f>
        <v>653914.59074731986</v>
      </c>
      <c r="D42" s="149">
        <f t="shared" si="0"/>
        <v>653.91459074731983</v>
      </c>
    </row>
    <row r="43" spans="1:4" x14ac:dyDescent="0.25">
      <c r="A43">
        <f t="shared" si="1"/>
        <v>5.7999999999999936</v>
      </c>
      <c r="B43" s="159">
        <f>(Main!$B$19+Main!$B$20*((Main!$B$55/1000)+Helper_calcs!$B$31))/(Freq_fold!A43-Main!$B$20*(Helper_calcs!$B$30-Helper_calcs!$B$31))</f>
        <v>0.91826923076923184</v>
      </c>
      <c r="C43" s="149">
        <f>IF(B43&gt;$B$12,IF(B43&gt;$B$13,1/(Helper_calcs!$B$36+Helper_calcs!$B$35),(1-Freq_fold!B43)/Helper_calcs!$B$35),IF(Freq_fold!B43&lt;Freq_fold!$B$11,Freq_fold!B43/Helper_calcs!$B$34,loop_gain!$B$18))</f>
        <v>817307.69230768166</v>
      </c>
      <c r="D43" s="149">
        <f t="shared" si="0"/>
        <v>817.30769230768169</v>
      </c>
    </row>
    <row r="44" spans="1:4" x14ac:dyDescent="0.25">
      <c r="A44">
        <f t="shared" si="1"/>
        <v>5.8999999999999932</v>
      </c>
      <c r="B44" s="159">
        <f>(Main!$B$19+Main!$B$20*((Main!$B$55/1000)+Helper_calcs!$B$31))/(Freq_fold!A44-Main!$B$20*(Helper_calcs!$B$30-Helper_calcs!$B$31))</f>
        <v>0.90249140893470903</v>
      </c>
      <c r="C44" s="149">
        <f>IF(B44&gt;$B$12,IF(B44&gt;$B$13,1/(Helper_calcs!$B$36+Helper_calcs!$B$35),(1-Freq_fold!B44)/Helper_calcs!$B$35),IF(Freq_fold!B44&lt;Freq_fold!$B$11,Freq_fold!B44/Helper_calcs!$B$34,loop_gain!$B$18))</f>
        <v>975085.91065290978</v>
      </c>
      <c r="D44" s="149">
        <f t="shared" si="0"/>
        <v>975.08591065290977</v>
      </c>
    </row>
    <row r="45" spans="1:4" x14ac:dyDescent="0.25">
      <c r="A45">
        <f t="shared" si="1"/>
        <v>5.9999999999999929</v>
      </c>
      <c r="B45" s="159">
        <f>(Main!$B$19+Main!$B$20*((Main!$B$55/1000)+Helper_calcs!$B$31))/(Freq_fold!A45-Main!$B$20*(Helper_calcs!$B$30-Helper_calcs!$B$31))</f>
        <v>0.88724662162162271</v>
      </c>
      <c r="C45" s="149">
        <f>IF(B45&gt;$B$12,IF(B45&gt;$B$13,1/(Helper_calcs!$B$36+Helper_calcs!$B$35),(1-Freq_fold!B45)/Helper_calcs!$B$35),IF(Freq_fold!B45&lt;Freq_fold!$B$11,Freq_fold!B45/Helper_calcs!$B$34,loop_gain!$B$18))</f>
        <v>1127533.783783773</v>
      </c>
      <c r="D45" s="149">
        <f t="shared" si="0"/>
        <v>1127.5337837837731</v>
      </c>
    </row>
    <row r="46" spans="1:4" x14ac:dyDescent="0.25">
      <c r="A46">
        <f>A45+0.2</f>
        <v>6.1999999999999931</v>
      </c>
      <c r="B46" s="159">
        <f>(Main!$B$19+Main!$B$20*((Main!$B$55/1000)+Helper_calcs!$B$31))/(Freq_fold!A46-Main!$B$20*(Helper_calcs!$B$30-Helper_calcs!$B$31))</f>
        <v>0.85825163398692916</v>
      </c>
      <c r="C46" s="149">
        <f>IF(B46&gt;$B$12,IF(B46&gt;$B$13,1/(Helper_calcs!$B$36+Helper_calcs!$B$35),(1-Freq_fold!B46)/Helper_calcs!$B$35),IF(Freq_fold!B46&lt;Freq_fold!$B$11,Freq_fold!B46/Helper_calcs!$B$34,loop_gain!$B$18))</f>
        <v>1417483.6601307085</v>
      </c>
      <c r="D46" s="149">
        <f t="shared" si="0"/>
        <v>1417.4836601307086</v>
      </c>
    </row>
    <row r="47" spans="1:4" x14ac:dyDescent="0.25">
      <c r="A47">
        <f t="shared" ref="A47:A75" si="2">A46+0.2</f>
        <v>6.3999999999999932</v>
      </c>
      <c r="B47" s="159">
        <f>(Main!$B$19+Main!$B$20*((Main!$B$55/1000)+Helper_calcs!$B$31))/(Freq_fold!A47-Main!$B$20*(Helper_calcs!$B$30-Helper_calcs!$B$31))</f>
        <v>0.83109177215189967</v>
      </c>
      <c r="C47" s="149">
        <f>IF(B47&gt;$B$12,IF(B47&gt;$B$13,1/(Helper_calcs!$B$36+Helper_calcs!$B$35),(1-Freq_fold!B47)/Helper_calcs!$B$35),IF(Freq_fold!B47&lt;Freq_fold!$B$11,Freq_fold!B47/Helper_calcs!$B$34,loop_gain!$B$18))</f>
        <v>1689082.2784810034</v>
      </c>
      <c r="D47" s="149">
        <f t="shared" si="0"/>
        <v>1689.0822784810034</v>
      </c>
    </row>
    <row r="48" spans="1:4" x14ac:dyDescent="0.25">
      <c r="A48">
        <f t="shared" si="2"/>
        <v>6.5999999999999934</v>
      </c>
      <c r="B48" s="159">
        <f>(Main!$B$19+Main!$B$20*((Main!$B$55/1000)+Helper_calcs!$B$31))/(Freq_fold!A48-Main!$B$20*(Helper_calcs!$B$30-Helper_calcs!$B$31))</f>
        <v>0.80559815950920333</v>
      </c>
      <c r="C48" s="149">
        <f>IF(B48&gt;$B$12,IF(B48&gt;$B$13,1/(Helper_calcs!$B$36+Helper_calcs!$B$35),(1-Freq_fold!B48)/Helper_calcs!$B$35),IF(Freq_fold!B48&lt;Freq_fold!$B$11,Freq_fold!B48/Helper_calcs!$B$34,loop_gain!$B$18))</f>
        <v>1944018.4049079667</v>
      </c>
      <c r="D48" s="149">
        <f t="shared" si="0"/>
        <v>1944.0184049079667</v>
      </c>
    </row>
    <row r="49" spans="1:4" x14ac:dyDescent="0.25">
      <c r="A49">
        <f t="shared" si="2"/>
        <v>6.7999999999999936</v>
      </c>
      <c r="B49" s="159">
        <f>(Main!$B$19+Main!$B$20*((Main!$B$55/1000)+Helper_calcs!$B$31))/(Freq_fold!A49-Main!$B$20*(Helper_calcs!$B$30-Helper_calcs!$B$31))</f>
        <v>0.78162202380952461</v>
      </c>
      <c r="C49" s="149">
        <f>IF(B49&gt;$B$12,IF(B49&gt;$B$13,1/(Helper_calcs!$B$36+Helper_calcs!$B$35),(1-Freq_fold!B49)/Helper_calcs!$B$35),IF(Freq_fold!B49&lt;Freq_fold!$B$11,Freq_fold!B49/Helper_calcs!$B$34,loop_gain!$B$18))</f>
        <v>2100000</v>
      </c>
      <c r="D49" s="149">
        <f t="shared" si="0"/>
        <v>2100</v>
      </c>
    </row>
    <row r="50" spans="1:4" x14ac:dyDescent="0.25">
      <c r="A50">
        <f t="shared" si="2"/>
        <v>6.9999999999999938</v>
      </c>
      <c r="B50" s="159">
        <f>(Main!$B$19+Main!$B$20*((Main!$B$55/1000)+Helper_calcs!$B$31))/(Freq_fold!A50-Main!$B$20*(Helper_calcs!$B$30-Helper_calcs!$B$31))</f>
        <v>0.75903179190751524</v>
      </c>
      <c r="C50" s="149">
        <f>IF(B50&gt;$B$12,IF(B50&gt;$B$13,1/(Helper_calcs!$B$36+Helper_calcs!$B$35),(1-Freq_fold!B50)/Helper_calcs!$B$35),IF(Freq_fold!B50&lt;Freq_fold!$B$11,Freq_fold!B50/Helper_calcs!$B$34,loop_gain!$B$18))</f>
        <v>2100000</v>
      </c>
      <c r="D50" s="149">
        <f t="shared" si="0"/>
        <v>2100</v>
      </c>
    </row>
    <row r="51" spans="1:4" x14ac:dyDescent="0.25">
      <c r="A51">
        <f t="shared" si="2"/>
        <v>7.199999999999994</v>
      </c>
      <c r="B51" s="159">
        <f>(Main!$B$19+Main!$B$20*((Main!$B$55/1000)+Helper_calcs!$B$31))/(Freq_fold!A51-Main!$B$20*(Helper_calcs!$B$30-Helper_calcs!$B$31))</f>
        <v>0.73771067415730407</v>
      </c>
      <c r="C51" s="149">
        <f>IF(B51&gt;$B$12,IF(B51&gt;$B$13,1/(Helper_calcs!$B$36+Helper_calcs!$B$35),(1-Freq_fold!B51)/Helper_calcs!$B$35),IF(Freq_fold!B51&lt;Freq_fold!$B$11,Freq_fold!B51/Helper_calcs!$B$34,loop_gain!$B$18))</f>
        <v>2100000</v>
      </c>
      <c r="D51" s="149">
        <f t="shared" si="0"/>
        <v>2100</v>
      </c>
    </row>
    <row r="52" spans="1:4" x14ac:dyDescent="0.25">
      <c r="A52">
        <f t="shared" si="2"/>
        <v>7.3999999999999941</v>
      </c>
      <c r="B52" s="159">
        <f>(Main!$B$19+Main!$B$20*((Main!$B$55/1000)+Helper_calcs!$B$31))/(Freq_fold!A52-Main!$B$20*(Helper_calcs!$B$30-Helper_calcs!$B$31))</f>
        <v>0.71755464480874376</v>
      </c>
      <c r="C52" s="149">
        <f>IF(B52&gt;$B$12,IF(B52&gt;$B$13,1/(Helper_calcs!$B$36+Helper_calcs!$B$35),(1-Freq_fold!B52)/Helper_calcs!$B$35),IF(Freq_fold!B52&lt;Freq_fold!$B$11,Freq_fold!B52/Helper_calcs!$B$34,loop_gain!$B$18))</f>
        <v>2100000</v>
      </c>
      <c r="D52" s="149">
        <f t="shared" si="0"/>
        <v>2100</v>
      </c>
    </row>
    <row r="53" spans="1:4" x14ac:dyDescent="0.25">
      <c r="A53">
        <f t="shared" si="2"/>
        <v>7.5999999999999943</v>
      </c>
      <c r="B53" s="159">
        <f>(Main!$B$19+Main!$B$20*((Main!$B$55/1000)+Helper_calcs!$B$31))/(Freq_fold!A53-Main!$B$20*(Helper_calcs!$B$30-Helper_calcs!$B$31))</f>
        <v>0.69847074468085169</v>
      </c>
      <c r="C53" s="149">
        <f>IF(B53&gt;$B$12,IF(B53&gt;$B$13,1/(Helper_calcs!$B$36+Helper_calcs!$B$35),(1-Freq_fold!B53)/Helper_calcs!$B$35),IF(Freq_fold!B53&lt;Freq_fold!$B$11,Freq_fold!B53/Helper_calcs!$B$34,loop_gain!$B$18))</f>
        <v>2100000</v>
      </c>
      <c r="D53" s="149">
        <f t="shared" si="0"/>
        <v>2100</v>
      </c>
    </row>
    <row r="54" spans="1:4" x14ac:dyDescent="0.25">
      <c r="A54">
        <f t="shared" si="2"/>
        <v>7.7999999999999945</v>
      </c>
      <c r="B54" s="159">
        <f>(Main!$B$19+Main!$B$20*((Main!$B$55/1000)+Helper_calcs!$B$31))/(Freq_fold!A54-Main!$B$20*(Helper_calcs!$B$30-Helper_calcs!$B$31))</f>
        <v>0.68037564766839431</v>
      </c>
      <c r="C54" s="149">
        <f>IF(B54&gt;$B$12,IF(B54&gt;$B$13,1/(Helper_calcs!$B$36+Helper_calcs!$B$35),(1-Freq_fold!B54)/Helper_calcs!$B$35),IF(Freq_fold!B54&lt;Freq_fold!$B$11,Freq_fold!B54/Helper_calcs!$B$34,loop_gain!$B$18))</f>
        <v>2100000</v>
      </c>
      <c r="D54" s="149">
        <f t="shared" si="0"/>
        <v>2100</v>
      </c>
    </row>
    <row r="55" spans="1:4" x14ac:dyDescent="0.25">
      <c r="A55">
        <f t="shared" si="2"/>
        <v>7.9999999999999947</v>
      </c>
      <c r="B55" s="159">
        <f>(Main!$B$19+Main!$B$20*((Main!$B$55/1000)+Helper_calcs!$B$31))/(Freq_fold!A55-Main!$B$20*(Helper_calcs!$B$30-Helper_calcs!$B$31))</f>
        <v>0.66319444444444497</v>
      </c>
      <c r="C55" s="149">
        <f>IF(B55&gt;$B$12,IF(B55&gt;$B$13,1/(Helper_calcs!$B$36+Helper_calcs!$B$35),(1-Freq_fold!B55)/Helper_calcs!$B$35),IF(Freq_fold!B55&lt;Freq_fold!$B$11,Freq_fold!B55/Helper_calcs!$B$34,loop_gain!$B$18))</f>
        <v>2100000</v>
      </c>
      <c r="D55" s="149">
        <f t="shared" si="0"/>
        <v>2100</v>
      </c>
    </row>
    <row r="56" spans="1:4" x14ac:dyDescent="0.25">
      <c r="A56">
        <f t="shared" si="2"/>
        <v>8.199999999999994</v>
      </c>
      <c r="B56" s="159">
        <f>(Main!$B$19+Main!$B$20*((Main!$B$55/1000)+Helper_calcs!$B$31))/(Freq_fold!A56-Main!$B$20*(Helper_calcs!$B$30-Helper_calcs!$B$31))</f>
        <v>0.64685960591133063</v>
      </c>
      <c r="C56" s="149">
        <f>IF(B56&gt;$B$12,IF(B56&gt;$B$13,1/(Helper_calcs!$B$36+Helper_calcs!$B$35),(1-Freq_fold!B56)/Helper_calcs!$B$35),IF(Freq_fold!B56&lt;Freq_fold!$B$11,Freq_fold!B56/Helper_calcs!$B$34,loop_gain!$B$18))</f>
        <v>2100000</v>
      </c>
      <c r="D56" s="149">
        <f t="shared" si="0"/>
        <v>2100</v>
      </c>
    </row>
    <row r="57" spans="1:4" x14ac:dyDescent="0.25">
      <c r="A57">
        <f t="shared" si="2"/>
        <v>8.3999999999999932</v>
      </c>
      <c r="B57" s="159">
        <f>(Main!$B$19+Main!$B$20*((Main!$B$55/1000)+Helper_calcs!$B$31))/(Freq_fold!A57-Main!$B$20*(Helper_calcs!$B$30-Helper_calcs!$B$31))</f>
        <v>0.6313100961538467</v>
      </c>
      <c r="C57" s="149">
        <f>IF(B57&gt;$B$12,IF(B57&gt;$B$13,1/(Helper_calcs!$B$36+Helper_calcs!$B$35),(1-Freq_fold!B57)/Helper_calcs!$B$35),IF(Freq_fold!B57&lt;Freq_fold!$B$11,Freq_fold!B57/Helper_calcs!$B$34,loop_gain!$B$18))</f>
        <v>2100000</v>
      </c>
      <c r="D57" s="149">
        <f t="shared" si="0"/>
        <v>2100</v>
      </c>
    </row>
    <row r="58" spans="1:4" x14ac:dyDescent="0.25">
      <c r="A58">
        <f t="shared" si="2"/>
        <v>8.5999999999999925</v>
      </c>
      <c r="B58" s="159">
        <f>(Main!$B$19+Main!$B$20*((Main!$B$55/1000)+Helper_calcs!$B$31))/(Freq_fold!A58-Main!$B$20*(Helper_calcs!$B$30-Helper_calcs!$B$31))</f>
        <v>0.61649061032863905</v>
      </c>
      <c r="C58" s="149">
        <f>IF(B58&gt;$B$12,IF(B58&gt;$B$13,1/(Helper_calcs!$B$36+Helper_calcs!$B$35),(1-Freq_fold!B58)/Helper_calcs!$B$35),IF(Freq_fold!B58&lt;Freq_fold!$B$11,Freq_fold!B58/Helper_calcs!$B$34,loop_gain!$B$18))</f>
        <v>2100000</v>
      </c>
      <c r="D58" s="149">
        <f t="shared" si="0"/>
        <v>2100</v>
      </c>
    </row>
    <row r="59" spans="1:4" x14ac:dyDescent="0.25">
      <c r="A59">
        <f t="shared" si="2"/>
        <v>8.7999999999999918</v>
      </c>
      <c r="B59" s="159">
        <f>(Main!$B$19+Main!$B$20*((Main!$B$55/1000)+Helper_calcs!$B$31))/(Freq_fold!A59-Main!$B$20*(Helper_calcs!$B$30-Helper_calcs!$B$31))</f>
        <v>0.60235091743119329</v>
      </c>
      <c r="C59" s="149">
        <f>IF(B59&gt;$B$12,IF(B59&gt;$B$13,1/(Helper_calcs!$B$36+Helper_calcs!$B$35),(1-Freq_fold!B59)/Helper_calcs!$B$35),IF(Freq_fold!B59&lt;Freq_fold!$B$11,Freq_fold!B59/Helper_calcs!$B$34,loop_gain!$B$18))</f>
        <v>2100000</v>
      </c>
      <c r="D59" s="149">
        <f t="shared" si="0"/>
        <v>2100</v>
      </c>
    </row>
    <row r="60" spans="1:4" x14ac:dyDescent="0.25">
      <c r="A60">
        <f t="shared" si="2"/>
        <v>8.9999999999999911</v>
      </c>
      <c r="B60" s="159">
        <f>(Main!$B$19+Main!$B$20*((Main!$B$55/1000)+Helper_calcs!$B$31))/(Freq_fold!A60-Main!$B$20*(Helper_calcs!$B$30-Helper_calcs!$B$31))</f>
        <v>0.58884529147982123</v>
      </c>
      <c r="C60" s="149">
        <f>IF(B60&gt;$B$12,IF(B60&gt;$B$13,1/(Helper_calcs!$B$36+Helper_calcs!$B$35),(1-Freq_fold!B60)/Helper_calcs!$B$35),IF(Freq_fold!B60&lt;Freq_fold!$B$11,Freq_fold!B60/Helper_calcs!$B$34,loop_gain!$B$18))</f>
        <v>2100000</v>
      </c>
      <c r="D60" s="149">
        <f t="shared" si="0"/>
        <v>2100</v>
      </c>
    </row>
    <row r="61" spans="1:4" x14ac:dyDescent="0.25">
      <c r="A61">
        <f t="shared" si="2"/>
        <v>9.1999999999999904</v>
      </c>
      <c r="B61" s="159">
        <f>(Main!$B$19+Main!$B$20*((Main!$B$55/1000)+Helper_calcs!$B$31))/(Freq_fold!A61-Main!$B$20*(Helper_calcs!$B$30-Helper_calcs!$B$31))</f>
        <v>0.57593201754386025</v>
      </c>
      <c r="C61" s="149">
        <f>IF(B61&gt;$B$12,IF(B61&gt;$B$13,1/(Helper_calcs!$B$36+Helper_calcs!$B$35),(1-Freq_fold!B61)/Helper_calcs!$B$35),IF(Freq_fold!B61&lt;Freq_fold!$B$11,Freq_fold!B61/Helper_calcs!$B$34,loop_gain!$B$18))</f>
        <v>2100000</v>
      </c>
      <c r="D61" s="149">
        <f t="shared" si="0"/>
        <v>2100</v>
      </c>
    </row>
    <row r="62" spans="1:4" x14ac:dyDescent="0.25">
      <c r="A62">
        <f t="shared" si="2"/>
        <v>9.3999999999999897</v>
      </c>
      <c r="B62" s="159">
        <f>(Main!$B$19+Main!$B$20*((Main!$B$55/1000)+Helper_calcs!$B$31))/(Freq_fold!A62-Main!$B$20*(Helper_calcs!$B$30-Helper_calcs!$B$31))</f>
        <v>0.56357296137339119</v>
      </c>
      <c r="C62" s="149">
        <f>IF(B62&gt;$B$12,IF(B62&gt;$B$13,1/(Helper_calcs!$B$36+Helper_calcs!$B$35),(1-Freq_fold!B62)/Helper_calcs!$B$35),IF(Freq_fold!B62&lt;Freq_fold!$B$11,Freq_fold!B62/Helper_calcs!$B$34,loop_gain!$B$18))</f>
        <v>2100000</v>
      </c>
      <c r="D62" s="149">
        <f t="shared" si="0"/>
        <v>2100</v>
      </c>
    </row>
    <row r="63" spans="1:4" x14ac:dyDescent="0.25">
      <c r="A63">
        <f t="shared" si="2"/>
        <v>9.599999999999989</v>
      </c>
      <c r="B63" s="159">
        <f>(Main!$B$19+Main!$B$20*((Main!$B$55/1000)+Helper_calcs!$B$31))/(Freq_fold!A63-Main!$B$20*(Helper_calcs!$B$30-Helper_calcs!$B$31))</f>
        <v>0.55173319327731163</v>
      </c>
      <c r="C63" s="149">
        <f>IF(B63&gt;$B$12,IF(B63&gt;$B$13,1/(Helper_calcs!$B$36+Helper_calcs!$B$35),(1-Freq_fold!B63)/Helper_calcs!$B$35),IF(Freq_fold!B63&lt;Freq_fold!$B$11,Freq_fold!B63/Helper_calcs!$B$34,loop_gain!$B$18))</f>
        <v>2100000</v>
      </c>
      <c r="D63" s="149">
        <f t="shared" si="0"/>
        <v>2100</v>
      </c>
    </row>
    <row r="64" spans="1:4" x14ac:dyDescent="0.25">
      <c r="A64">
        <f t="shared" si="2"/>
        <v>9.7999999999999883</v>
      </c>
      <c r="B64" s="159">
        <f>(Main!$B$19+Main!$B$20*((Main!$B$55/1000)+Helper_calcs!$B$31))/(Freq_fold!A64-Main!$B$20*(Helper_calcs!$B$30-Helper_calcs!$B$31))</f>
        <v>0.54038065843621463</v>
      </c>
      <c r="C64" s="149">
        <f>IF(B64&gt;$B$12,IF(B64&gt;$B$13,1/(Helper_calcs!$B$36+Helper_calcs!$B$35),(1-Freq_fold!B64)/Helper_calcs!$B$35),IF(Freq_fold!B64&lt;Freq_fold!$B$11,Freq_fold!B64/Helper_calcs!$B$34,loop_gain!$B$18))</f>
        <v>2100000</v>
      </c>
      <c r="D64" s="149">
        <f t="shared" si="0"/>
        <v>2100</v>
      </c>
    </row>
    <row r="65" spans="1:4" x14ac:dyDescent="0.25">
      <c r="A65">
        <f t="shared" si="2"/>
        <v>9.9999999999999876</v>
      </c>
      <c r="B65" s="159">
        <f>(Main!$B$19+Main!$B$20*((Main!$B$55/1000)+Helper_calcs!$B$31))/(Freq_fold!A65-Main!$B$20*(Helper_calcs!$B$30-Helper_calcs!$B$31))</f>
        <v>0.52948588709677491</v>
      </c>
      <c r="C65" s="149">
        <f>IF(B65&gt;$B$12,IF(B65&gt;$B$13,1/(Helper_calcs!$B$36+Helper_calcs!$B$35),(1-Freq_fold!B65)/Helper_calcs!$B$35),IF(Freq_fold!B65&lt;Freq_fold!$B$11,Freq_fold!B65/Helper_calcs!$B$34,loop_gain!$B$18))</f>
        <v>2100000</v>
      </c>
      <c r="D65" s="149">
        <f t="shared" si="0"/>
        <v>2100</v>
      </c>
    </row>
    <row r="66" spans="1:4" x14ac:dyDescent="0.25">
      <c r="A66">
        <f t="shared" si="2"/>
        <v>10.199999999999987</v>
      </c>
      <c r="B66" s="159">
        <f>(Main!$B$19+Main!$B$20*((Main!$B$55/1000)+Helper_calcs!$B$31))/(Freq_fold!A66-Main!$B$20*(Helper_calcs!$B$30-Helper_calcs!$B$31))</f>
        <v>0.51902173913043548</v>
      </c>
      <c r="C66" s="149">
        <f>IF(B66&gt;$B$12,IF(B66&gt;$B$13,1/(Helper_calcs!$B$36+Helper_calcs!$B$35),(1-Freq_fold!B66)/Helper_calcs!$B$35),IF(Freq_fold!B66&lt;Freq_fold!$B$11,Freq_fold!B66/Helper_calcs!$B$34,loop_gain!$B$18))</f>
        <v>2100000</v>
      </c>
      <c r="D66" s="149">
        <f t="shared" si="0"/>
        <v>2100</v>
      </c>
    </row>
    <row r="67" spans="1:4" x14ac:dyDescent="0.25">
      <c r="A67">
        <f t="shared" si="2"/>
        <v>10.399999999999986</v>
      </c>
      <c r="B67" s="159">
        <f>(Main!$B$19+Main!$B$20*((Main!$B$55/1000)+Helper_calcs!$B$31))/(Freq_fold!A67-Main!$B$20*(Helper_calcs!$B$30-Helper_calcs!$B$31))</f>
        <v>0.50896317829457438</v>
      </c>
      <c r="C67" s="149">
        <f>IF(B67&gt;$B$12,IF(B67&gt;$B$13,1/(Helper_calcs!$B$36+Helper_calcs!$B$35),(1-Freq_fold!B67)/Helper_calcs!$B$35),IF(Freq_fold!B67&lt;Freq_fold!$B$11,Freq_fold!B67/Helper_calcs!$B$34,loop_gain!$B$18))</f>
        <v>2100000</v>
      </c>
      <c r="D67" s="149">
        <f t="shared" si="0"/>
        <v>2100</v>
      </c>
    </row>
    <row r="68" spans="1:4" x14ac:dyDescent="0.25">
      <c r="A68">
        <f t="shared" si="2"/>
        <v>10.599999999999985</v>
      </c>
      <c r="B68" s="159">
        <f>(Main!$B$19+Main!$B$20*((Main!$B$55/1000)+Helper_calcs!$B$31))/(Freq_fold!A68-Main!$B$20*(Helper_calcs!$B$30-Helper_calcs!$B$31))</f>
        <v>0.49928707224334673</v>
      </c>
      <c r="C68" s="149">
        <f>IF(B68&gt;$B$12,IF(B68&gt;$B$13,1/(Helper_calcs!$B$36+Helper_calcs!$B$35),(1-Freq_fold!B68)/Helper_calcs!$B$35),IF(Freq_fold!B68&lt;Freq_fold!$B$11,Freq_fold!B68/Helper_calcs!$B$34,loop_gain!$B$18))</f>
        <v>2100000</v>
      </c>
      <c r="D68" s="149">
        <f t="shared" si="0"/>
        <v>2100</v>
      </c>
    </row>
    <row r="69" spans="1:4" x14ac:dyDescent="0.25">
      <c r="A69">
        <f t="shared" si="2"/>
        <v>10.799999999999985</v>
      </c>
      <c r="B69" s="159">
        <f>(Main!$B$19+Main!$B$20*((Main!$B$55/1000)+Helper_calcs!$B$31))/(Freq_fold!A69-Main!$B$20*(Helper_calcs!$B$30-Helper_calcs!$B$31))</f>
        <v>0.4899720149253739</v>
      </c>
      <c r="C69" s="149">
        <f>IF(B69&gt;$B$12,IF(B69&gt;$B$13,1/(Helper_calcs!$B$36+Helper_calcs!$B$35),(1-Freq_fold!B69)/Helper_calcs!$B$35),IF(Freq_fold!B69&lt;Freq_fold!$B$11,Freq_fold!B69/Helper_calcs!$B$34,loop_gain!$B$18))</f>
        <v>2100000</v>
      </c>
      <c r="D69" s="149">
        <f t="shared" si="0"/>
        <v>2100</v>
      </c>
    </row>
    <row r="70" spans="1:4" x14ac:dyDescent="0.25">
      <c r="A70">
        <f t="shared" si="2"/>
        <v>10.999999999999984</v>
      </c>
      <c r="B70" s="159">
        <f>(Main!$B$19+Main!$B$20*((Main!$B$55/1000)+Helper_calcs!$B$31))/(Freq_fold!A70-Main!$B$20*(Helper_calcs!$B$30-Helper_calcs!$B$31))</f>
        <v>0.48099816849816923</v>
      </c>
      <c r="C70" s="149">
        <f>IF(B70&gt;$B$12,IF(B70&gt;$B$13,1/(Helper_calcs!$B$36+Helper_calcs!$B$35),(1-Freq_fold!B70)/Helper_calcs!$B$35),IF(Freq_fold!B70&lt;Freq_fold!$B$11,Freq_fold!B70/Helper_calcs!$B$34,loop_gain!$B$18))</f>
        <v>2100000</v>
      </c>
      <c r="D70" s="149">
        <f t="shared" si="0"/>
        <v>2100</v>
      </c>
    </row>
    <row r="71" spans="1:4" x14ac:dyDescent="0.25">
      <c r="A71">
        <f t="shared" si="2"/>
        <v>11.199999999999983</v>
      </c>
      <c r="B71" s="159">
        <f>(Main!$B$19+Main!$B$20*((Main!$B$55/1000)+Helper_calcs!$B$31))/(Freq_fold!A71-Main!$B$20*(Helper_calcs!$B$30-Helper_calcs!$B$31))</f>
        <v>0.47234712230215903</v>
      </c>
      <c r="C71" s="149">
        <f>IF(B71&gt;$B$12,IF(B71&gt;$B$13,1/(Helper_calcs!$B$36+Helper_calcs!$B$35),(1-Freq_fold!B71)/Helper_calcs!$B$35),IF(Freq_fold!B71&lt;Freq_fold!$B$11,Freq_fold!B71/Helper_calcs!$B$34,loop_gain!$B$18))</f>
        <v>2100000</v>
      </c>
      <c r="D71" s="149">
        <f t="shared" si="0"/>
        <v>2100</v>
      </c>
    </row>
    <row r="72" spans="1:4" x14ac:dyDescent="0.25">
      <c r="A72">
        <f t="shared" si="2"/>
        <v>11.399999999999983</v>
      </c>
      <c r="B72" s="159">
        <f>(Main!$B$19+Main!$B$20*((Main!$B$55/1000)+Helper_calcs!$B$31))/(Freq_fold!A72-Main!$B$20*(Helper_calcs!$B$30-Helper_calcs!$B$31))</f>
        <v>0.46400176678445304</v>
      </c>
      <c r="C72" s="149">
        <f>IF(B72&gt;$B$12,IF(B72&gt;$B$13,1/(Helper_calcs!$B$36+Helper_calcs!$B$35),(1-Freq_fold!B72)/Helper_calcs!$B$35),IF(Freq_fold!B72&lt;Freq_fold!$B$11,Freq_fold!B72/Helper_calcs!$B$34,loop_gain!$B$18))</f>
        <v>2100000</v>
      </c>
      <c r="D72" s="149">
        <f t="shared" si="0"/>
        <v>2100</v>
      </c>
    </row>
    <row r="73" spans="1:4" x14ac:dyDescent="0.25">
      <c r="A73">
        <f t="shared" si="2"/>
        <v>11.599999999999982</v>
      </c>
      <c r="B73" s="159">
        <f>(Main!$B$19+Main!$B$20*((Main!$B$55/1000)+Helper_calcs!$B$31))/(Freq_fold!A73-Main!$B$20*(Helper_calcs!$B$30-Helper_calcs!$B$31))</f>
        <v>0.4559461805555563</v>
      </c>
      <c r="C73" s="149">
        <f>IF(B73&gt;$B$12,IF(B73&gt;$B$13,1/(Helper_calcs!$B$36+Helper_calcs!$B$35),(1-Freq_fold!B73)/Helper_calcs!$B$35),IF(Freq_fold!B73&lt;Freq_fold!$B$11,Freq_fold!B73/Helper_calcs!$B$34,loop_gain!$B$18))</f>
        <v>2100000</v>
      </c>
      <c r="D73" s="149">
        <f t="shared" si="0"/>
        <v>2100</v>
      </c>
    </row>
    <row r="74" spans="1:4" x14ac:dyDescent="0.25">
      <c r="A74">
        <f t="shared" si="2"/>
        <v>11.799999999999981</v>
      </c>
      <c r="B74" s="159">
        <f>(Main!$B$19+Main!$B$20*((Main!$B$55/1000)+Helper_calcs!$B$31))/(Freq_fold!A74-Main!$B$20*(Helper_calcs!$B$30-Helper_calcs!$B$31))</f>
        <v>0.44816552901023965</v>
      </c>
      <c r="C74" s="149">
        <f>IF(B74&gt;$B$12,IF(B74&gt;$B$13,1/(Helper_calcs!$B$36+Helper_calcs!$B$35),(1-Freq_fold!B74)/Helper_calcs!$B$35),IF(Freq_fold!B74&lt;Freq_fold!$B$11,Freq_fold!B74/Helper_calcs!$B$34,loop_gain!$B$18))</f>
        <v>2100000</v>
      </c>
      <c r="D74" s="149">
        <f t="shared" si="0"/>
        <v>2100</v>
      </c>
    </row>
    <row r="75" spans="1:4" x14ac:dyDescent="0.25">
      <c r="A75">
        <f t="shared" si="2"/>
        <v>11.99999999999998</v>
      </c>
      <c r="B75" s="159">
        <f>(Main!$B$19+Main!$B$20*((Main!$B$55/1000)+Helper_calcs!$B$31))/(Freq_fold!A75-Main!$B$20*(Helper_calcs!$B$30-Helper_calcs!$B$31))</f>
        <v>0.44064597315436316</v>
      </c>
      <c r="C75" s="149">
        <f>IF(B75&gt;$B$12,IF(B75&gt;$B$13,1/(Helper_calcs!$B$36+Helper_calcs!$B$35),(1-Freq_fold!B75)/Helper_calcs!$B$35),IF(Freq_fold!B75&lt;Freq_fold!$B$11,Freq_fold!B75/Helper_calcs!$B$34,loop_gain!$B$18))</f>
        <v>2100000</v>
      </c>
      <c r="D75" s="149">
        <f t="shared" si="0"/>
        <v>2100</v>
      </c>
    </row>
    <row r="76" spans="1:4" x14ac:dyDescent="0.25">
      <c r="A76">
        <f>A75+1</f>
        <v>12.99999999999998</v>
      </c>
      <c r="B76" s="159">
        <f>(Main!$B$19+Main!$B$20*((Main!$B$55/1000)+Helper_calcs!$B$31))/(Freq_fold!A76-Main!$B$20*(Helper_calcs!$B$30-Helper_calcs!$B$31))</f>
        <v>0.40654024767801922</v>
      </c>
      <c r="C76" s="149">
        <f>IF(B76&gt;$B$12,IF(B76&gt;$B$13,1/(Helper_calcs!$B$36+Helper_calcs!$B$35),(1-Freq_fold!B76)/Helper_calcs!$B$35),IF(Freq_fold!B76&lt;Freq_fold!$B$11,Freq_fold!B76/Helper_calcs!$B$34,loop_gain!$B$18))</f>
        <v>2100000</v>
      </c>
      <c r="D76" s="149">
        <f t="shared" si="0"/>
        <v>2100</v>
      </c>
    </row>
    <row r="77" spans="1:4" x14ac:dyDescent="0.25">
      <c r="A77">
        <f t="shared" ref="A77:A99" si="3">A76+1</f>
        <v>13.99999999999998</v>
      </c>
      <c r="B77" s="159">
        <f>(Main!$B$19+Main!$B$20*((Main!$B$55/1000)+Helper_calcs!$B$31))/(Freq_fold!A77-Main!$B$20*(Helper_calcs!$B$30-Helper_calcs!$B$31))</f>
        <v>0.3773347701149431</v>
      </c>
      <c r="C77" s="149">
        <f>IF(B77&gt;$B$12,IF(B77&gt;$B$13,1/(Helper_calcs!$B$36+Helper_calcs!$B$35),(1-Freq_fold!B77)/Helper_calcs!$B$35),IF(Freq_fold!B77&lt;Freq_fold!$B$11,Freq_fold!B77/Helper_calcs!$B$34,loop_gain!$B$18))</f>
        <v>2100000</v>
      </c>
      <c r="D77" s="149">
        <f t="shared" si="0"/>
        <v>2100</v>
      </c>
    </row>
    <row r="78" spans="1:4" x14ac:dyDescent="0.25">
      <c r="A78">
        <f t="shared" si="3"/>
        <v>14.99999999999998</v>
      </c>
      <c r="B78" s="159">
        <f>(Main!$B$19+Main!$B$20*((Main!$B$55/1000)+Helper_calcs!$B$31))/(Freq_fold!A78-Main!$B$20*(Helper_calcs!$B$30-Helper_calcs!$B$31))</f>
        <v>0.35204423592493345</v>
      </c>
      <c r="C78" s="149">
        <f>IF(B78&gt;$B$12,IF(B78&gt;$B$13,1/(Helper_calcs!$B$36+Helper_calcs!$B$35),(1-Freq_fold!B78)/Helper_calcs!$B$35),IF(Freq_fold!B78&lt;Freq_fold!$B$11,Freq_fold!B78/Helper_calcs!$B$34,loop_gain!$B$18))</f>
        <v>2100000</v>
      </c>
      <c r="D78" s="149">
        <f t="shared" si="0"/>
        <v>2100</v>
      </c>
    </row>
    <row r="79" spans="1:4" x14ac:dyDescent="0.25">
      <c r="A79">
        <f t="shared" si="3"/>
        <v>15.99999999999998</v>
      </c>
      <c r="B79" s="159">
        <f>(Main!$B$19+Main!$B$20*((Main!$B$55/1000)+Helper_calcs!$B$31))/(Freq_fold!A79-Main!$B$20*(Helper_calcs!$B$30-Helper_calcs!$B$31))</f>
        <v>0.32993090452261348</v>
      </c>
      <c r="C79" s="149">
        <f>IF(B79&gt;$B$12,IF(B79&gt;$B$13,1/(Helper_calcs!$B$36+Helper_calcs!$B$35),(1-Freq_fold!B79)/Helper_calcs!$B$35),IF(Freq_fold!B79&lt;Freq_fold!$B$11,Freq_fold!B79/Helper_calcs!$B$34,loop_gain!$B$18))</f>
        <v>2100000</v>
      </c>
      <c r="D79" s="149">
        <f t="shared" si="0"/>
        <v>2100</v>
      </c>
    </row>
    <row r="80" spans="1:4" x14ac:dyDescent="0.25">
      <c r="A80">
        <f t="shared" si="3"/>
        <v>16.999999999999979</v>
      </c>
      <c r="B80" s="159">
        <f>(Main!$B$19+Main!$B$20*((Main!$B$55/1000)+Helper_calcs!$B$31))/(Freq_fold!A80-Main!$B$20*(Helper_calcs!$B$30-Helper_calcs!$B$31))</f>
        <v>0.31043144208037865</v>
      </c>
      <c r="C80" s="149">
        <f>IF(B80&gt;$B$12,IF(B80&gt;$B$13,1/(Helper_calcs!$B$36+Helper_calcs!$B$35),(1-Freq_fold!B80)/Helper_calcs!$B$35),IF(Freq_fold!B80&lt;Freq_fold!$B$11,Freq_fold!B80/Helper_calcs!$B$34,loop_gain!$B$18))</f>
        <v>2100000</v>
      </c>
      <c r="D80" s="149">
        <f t="shared" si="0"/>
        <v>2100</v>
      </c>
    </row>
    <row r="81" spans="1:4" x14ac:dyDescent="0.25">
      <c r="A81">
        <f t="shared" si="3"/>
        <v>17.999999999999979</v>
      </c>
      <c r="B81" s="159">
        <f>(Main!$B$19+Main!$B$20*((Main!$B$55/1000)+Helper_calcs!$B$31))/(Freq_fold!A81-Main!$B$20*(Helper_calcs!$B$30-Helper_calcs!$B$31))</f>
        <v>0.29310825892857179</v>
      </c>
      <c r="C81" s="149">
        <f>IF(B81&gt;$B$12,IF(B81&gt;$B$13,1/(Helper_calcs!$B$36+Helper_calcs!$B$35),(1-Freq_fold!B81)/Helper_calcs!$B$35),IF(Freq_fold!B81&lt;Freq_fold!$B$11,Freq_fold!B81/Helper_calcs!$B$34,loop_gain!$B$18))</f>
        <v>2100000</v>
      </c>
      <c r="D81" s="149">
        <f t="shared" si="0"/>
        <v>2100</v>
      </c>
    </row>
    <row r="82" spans="1:4" x14ac:dyDescent="0.25">
      <c r="A82">
        <f t="shared" si="3"/>
        <v>18.999999999999979</v>
      </c>
      <c r="B82" s="159">
        <f>(Main!$B$19+Main!$B$20*((Main!$B$55/1000)+Helper_calcs!$B$31))/(Freq_fold!A82-Main!$B$20*(Helper_calcs!$B$30-Helper_calcs!$B$31))</f>
        <v>0.27761627906976777</v>
      </c>
      <c r="C82" s="149">
        <f>IF(B82&gt;$B$12,IF(B82&gt;$B$13,1/(Helper_calcs!$B$36+Helper_calcs!$B$35),(1-Freq_fold!B82)/Helper_calcs!$B$35),IF(Freq_fold!B82&lt;Freq_fold!$B$11,Freq_fold!B82/Helper_calcs!$B$34,loop_gain!$B$18))</f>
        <v>2100000</v>
      </c>
      <c r="D82" s="149">
        <f t="shared" si="0"/>
        <v>2100</v>
      </c>
    </row>
    <row r="83" spans="1:4" x14ac:dyDescent="0.25">
      <c r="A83">
        <f t="shared" si="3"/>
        <v>19.999999999999979</v>
      </c>
      <c r="B83" s="159">
        <f>(Main!$B$19+Main!$B$20*((Main!$B$55/1000)+Helper_calcs!$B$31))/(Freq_fold!A83-Main!$B$20*(Helper_calcs!$B$30-Helper_calcs!$B$31))</f>
        <v>0.26367971887550229</v>
      </c>
      <c r="C83" s="149">
        <f>IF(B83&gt;$B$12,IF(B83&gt;$B$13,1/(Helper_calcs!$B$36+Helper_calcs!$B$35),(1-Freq_fold!B83)/Helper_calcs!$B$35),IF(Freq_fold!B83&lt;Freq_fold!$B$11,Freq_fold!B83/Helper_calcs!$B$34,loop_gain!$B$18))</f>
        <v>2100000</v>
      </c>
      <c r="D83" s="149">
        <f t="shared" si="0"/>
        <v>2100</v>
      </c>
    </row>
    <row r="84" spans="1:4" x14ac:dyDescent="0.25">
      <c r="A84">
        <f t="shared" si="3"/>
        <v>20.999999999999979</v>
      </c>
      <c r="B84" s="159">
        <f>(Main!$B$19+Main!$B$20*((Main!$B$55/1000)+Helper_calcs!$B$31))/(Freq_fold!A84-Main!$B$20*(Helper_calcs!$B$30-Helper_calcs!$B$31))</f>
        <v>0.25107552581261977</v>
      </c>
      <c r="C84" s="149">
        <f>IF(B84&gt;$B$12,IF(B84&gt;$B$13,1/(Helper_calcs!$B$36+Helper_calcs!$B$35),(1-Freq_fold!B84)/Helper_calcs!$B$35),IF(Freq_fold!B84&lt;Freq_fold!$B$11,Freq_fold!B84/Helper_calcs!$B$34,loop_gain!$B$18))</f>
        <v>2100000</v>
      </c>
      <c r="D84" s="149">
        <f t="shared" si="0"/>
        <v>2100</v>
      </c>
    </row>
    <row r="85" spans="1:4" x14ac:dyDescent="0.25">
      <c r="A85">
        <f t="shared" si="3"/>
        <v>21.999999999999979</v>
      </c>
      <c r="B85" s="159">
        <f>(Main!$B$19+Main!$B$20*((Main!$B$55/1000)+Helper_calcs!$B$31))/(Freq_fold!A85-Main!$B$20*(Helper_calcs!$B$30-Helper_calcs!$B$31))</f>
        <v>0.23962135036496374</v>
      </c>
      <c r="C85" s="149">
        <f>IF(B85&gt;$B$12,IF(B85&gt;$B$13,1/(Helper_calcs!$B$36+Helper_calcs!$B$35),(1-Freq_fold!B85)/Helper_calcs!$B$35),IF(Freq_fold!B85&lt;Freq_fold!$B$11,Freq_fold!B85/Helper_calcs!$B$34,loop_gain!$B$18))</f>
        <v>2100000</v>
      </c>
      <c r="D85" s="149">
        <f t="shared" ref="D85:D99" si="4">C85/1000</f>
        <v>2100</v>
      </c>
    </row>
    <row r="86" spans="1:4" x14ac:dyDescent="0.25">
      <c r="A86">
        <f t="shared" si="3"/>
        <v>22.999999999999979</v>
      </c>
      <c r="B86" s="159">
        <f>(Main!$B$19+Main!$B$20*((Main!$B$55/1000)+Helper_calcs!$B$31))/(Freq_fold!A86-Main!$B$20*(Helper_calcs!$B$30-Helper_calcs!$B$31))</f>
        <v>0.22916666666666688</v>
      </c>
      <c r="C86" s="149">
        <f>IF(B86&gt;$B$12,IF(B86&gt;$B$13,1/(Helper_calcs!$B$36+Helper_calcs!$B$35),(1-Freq_fold!B86)/Helper_calcs!$B$35),IF(Freq_fold!B86&lt;Freq_fold!$B$11,Freq_fold!B86/Helper_calcs!$B$34,loop_gain!$B$18))</f>
        <v>2100000</v>
      </c>
      <c r="D86" s="149">
        <f t="shared" si="4"/>
        <v>2100</v>
      </c>
    </row>
    <row r="87" spans="1:4" x14ac:dyDescent="0.25">
      <c r="A87">
        <f t="shared" si="3"/>
        <v>23.999999999999979</v>
      </c>
      <c r="B87" s="159">
        <f>(Main!$B$19+Main!$B$20*((Main!$B$55/1000)+Helper_calcs!$B$31))/(Freq_fold!A87-Main!$B$20*(Helper_calcs!$B$30-Helper_calcs!$B$31))</f>
        <v>0.21958612040133799</v>
      </c>
      <c r="C87" s="149">
        <f>IF(B87&gt;$B$12,IF(B87&gt;$B$13,1/(Helper_calcs!$B$36+Helper_calcs!$B$35),(1-Freq_fold!B87)/Helper_calcs!$B$35),IF(Freq_fold!B87&lt;Freq_fold!$B$11,Freq_fold!B87/Helper_calcs!$B$34,loop_gain!$B$18))</f>
        <v>2100000</v>
      </c>
      <c r="D87" s="149">
        <f t="shared" si="4"/>
        <v>2100</v>
      </c>
    </row>
    <row r="88" spans="1:4" x14ac:dyDescent="0.25">
      <c r="A88">
        <f t="shared" si="3"/>
        <v>24.999999999999979</v>
      </c>
      <c r="B88" s="159">
        <f>(Main!$B$19+Main!$B$20*((Main!$B$55/1000)+Helper_calcs!$B$31))/(Freq_fold!A88-Main!$B$20*(Helper_calcs!$B$30-Helper_calcs!$B$31))</f>
        <v>0.21077447833065829</v>
      </c>
      <c r="C88" s="149">
        <f>IF(B88&gt;$B$12,IF(B88&gt;$B$13,1/(Helper_calcs!$B$36+Helper_calcs!$B$35),(1-Freq_fold!B88)/Helper_calcs!$B$35),IF(Freq_fold!B88&lt;Freq_fold!$B$11,Freq_fold!B88/Helper_calcs!$B$34,loop_gain!$B$18))</f>
        <v>2100000</v>
      </c>
      <c r="D88" s="149">
        <f t="shared" si="4"/>
        <v>2100</v>
      </c>
    </row>
    <row r="89" spans="1:4" x14ac:dyDescent="0.25">
      <c r="A89">
        <f t="shared" si="3"/>
        <v>25.999999999999979</v>
      </c>
      <c r="B89" s="159">
        <f>(Main!$B$19+Main!$B$20*((Main!$B$55/1000)+Helper_calcs!$B$31))/(Freq_fold!A89-Main!$B$20*(Helper_calcs!$B$30-Helper_calcs!$B$31))</f>
        <v>0.20264274691358042</v>
      </c>
      <c r="C89" s="149">
        <f>IF(B89&gt;$B$12,IF(B89&gt;$B$13,1/(Helper_calcs!$B$36+Helper_calcs!$B$35),(1-Freq_fold!B89)/Helper_calcs!$B$35),IF(Freq_fold!B89&lt;Freq_fold!$B$11,Freq_fold!B89/Helper_calcs!$B$34,loop_gain!$B$18))</f>
        <v>2100000</v>
      </c>
      <c r="D89" s="149">
        <f t="shared" si="4"/>
        <v>2100</v>
      </c>
    </row>
    <row r="90" spans="1:4" x14ac:dyDescent="0.25">
      <c r="A90">
        <f t="shared" si="3"/>
        <v>26.999999999999979</v>
      </c>
      <c r="B90" s="159">
        <f>(Main!$B$19+Main!$B$20*((Main!$B$55/1000)+Helper_calcs!$B$31))/(Freq_fold!A90-Main!$B$20*(Helper_calcs!$B$30-Helper_calcs!$B$31))</f>
        <v>0.19511515601783078</v>
      </c>
      <c r="C90" s="149">
        <f>IF(B90&gt;$B$12,IF(B90&gt;$B$13,1/(Helper_calcs!$B$36+Helper_calcs!$B$35),(1-Freq_fold!B90)/Helper_calcs!$B$35),IF(Freq_fold!B90&lt;Freq_fold!$B$11,Freq_fold!B90/Helper_calcs!$B$34,loop_gain!$B$18))</f>
        <v>2100000</v>
      </c>
      <c r="D90" s="149">
        <f t="shared" si="4"/>
        <v>2100</v>
      </c>
    </row>
    <row r="91" spans="1:4" x14ac:dyDescent="0.25">
      <c r="A91">
        <f t="shared" si="3"/>
        <v>27.999999999999979</v>
      </c>
      <c r="B91" s="159">
        <f>(Main!$B$19+Main!$B$20*((Main!$B$55/1000)+Helper_calcs!$B$31))/(Freq_fold!A91-Main!$B$20*(Helper_calcs!$B$30-Helper_calcs!$B$31))</f>
        <v>0.18812679083094572</v>
      </c>
      <c r="C91" s="149">
        <f>IF(B91&gt;$B$12,IF(B91&gt;$B$13,1/(Helper_calcs!$B$36+Helper_calcs!$B$35),(1-Freq_fold!B91)/Helper_calcs!$B$35),IF(Freq_fold!B91&lt;Freq_fold!$B$11,Freq_fold!B91/Helper_calcs!$B$34,loop_gain!$B$18))</f>
        <v>2100000</v>
      </c>
      <c r="D91" s="149">
        <f t="shared" si="4"/>
        <v>2100</v>
      </c>
    </row>
    <row r="92" spans="1:4" x14ac:dyDescent="0.25">
      <c r="A92">
        <f t="shared" si="3"/>
        <v>28.999999999999979</v>
      </c>
      <c r="B92" s="159">
        <f>(Main!$B$19+Main!$B$20*((Main!$B$55/1000)+Helper_calcs!$B$31))/(Freq_fold!A92-Main!$B$20*(Helper_calcs!$B$30-Helper_calcs!$B$31))</f>
        <v>0.18162171507607205</v>
      </c>
      <c r="C92" s="149">
        <f>IF(B92&gt;$B$12,IF(B92&gt;$B$13,1/(Helper_calcs!$B$36+Helper_calcs!$B$35),(1-Freq_fold!B92)/Helper_calcs!$B$35),IF(Freq_fold!B92&lt;Freq_fold!$B$11,Freq_fold!B92/Helper_calcs!$B$34,loop_gain!$B$18))</f>
        <v>2100000</v>
      </c>
      <c r="D92" s="149">
        <f t="shared" si="4"/>
        <v>2100</v>
      </c>
    </row>
    <row r="93" spans="1:4" x14ac:dyDescent="0.25">
      <c r="A93">
        <f t="shared" si="3"/>
        <v>29.999999999999979</v>
      </c>
      <c r="B93" s="159">
        <f>(Main!$B$19+Main!$B$20*((Main!$B$55/1000)+Helper_calcs!$B$31))/(Freq_fold!A93-Main!$B$20*(Helper_calcs!$B$30-Helper_calcs!$B$31))</f>
        <v>0.17555147058823542</v>
      </c>
      <c r="C93" s="149">
        <f>IF(B93&gt;$B$12,IF(B93&gt;$B$13,1/(Helper_calcs!$B$36+Helper_calcs!$B$35),(1-Freq_fold!B93)/Helper_calcs!$B$35),IF(Freq_fold!B93&lt;Freq_fold!$B$11,Freq_fold!B93/Helper_calcs!$B$34,loop_gain!$B$18))</f>
        <v>2100000</v>
      </c>
      <c r="D93" s="149">
        <f t="shared" si="4"/>
        <v>2100</v>
      </c>
    </row>
    <row r="94" spans="1:4" x14ac:dyDescent="0.25">
      <c r="A94">
        <f t="shared" si="3"/>
        <v>30.999999999999979</v>
      </c>
      <c r="B94" s="159">
        <f>(Main!$B$19+Main!$B$20*((Main!$B$55/1000)+Helper_calcs!$B$31))/(Freq_fold!A94-Main!$B$20*(Helper_calcs!$B$30-Helper_calcs!$B$31))</f>
        <v>0.16987386804657192</v>
      </c>
      <c r="C94" s="149">
        <f>IF(B94&gt;$B$12,IF(B94&gt;$B$13,1/(Helper_calcs!$B$36+Helper_calcs!$B$35),(1-Freq_fold!B94)/Helper_calcs!$B$35),IF(Freq_fold!B94&lt;Freq_fold!$B$11,Freq_fold!B94/Helper_calcs!$B$34,loop_gain!$B$18))</f>
        <v>2100000</v>
      </c>
      <c r="D94" s="149">
        <f t="shared" si="4"/>
        <v>2100</v>
      </c>
    </row>
    <row r="95" spans="1:4" x14ac:dyDescent="0.25">
      <c r="A95">
        <f t="shared" si="3"/>
        <v>31.999999999999979</v>
      </c>
      <c r="B95" s="159">
        <f>(Main!$B$19+Main!$B$20*((Main!$B$55/1000)+Helper_calcs!$B$31))/(Freq_fold!A95-Main!$B$20*(Helper_calcs!$B$30-Helper_calcs!$B$31))</f>
        <v>0.16455200501253145</v>
      </c>
      <c r="C95" s="149">
        <f>IF(B95&gt;$B$12,IF(B95&gt;$B$13,1/(Helper_calcs!$B$36+Helper_calcs!$B$35),(1-Freq_fold!B95)/Helper_calcs!$B$35),IF(Freq_fold!B95&lt;Freq_fold!$B$11,Freq_fold!B95/Helper_calcs!$B$34,loop_gain!$B$18))</f>
        <v>2100000</v>
      </c>
      <c r="D95" s="149">
        <f t="shared" si="4"/>
        <v>2100</v>
      </c>
    </row>
    <row r="96" spans="1:4" x14ac:dyDescent="0.25">
      <c r="A96">
        <f t="shared" si="3"/>
        <v>32.999999999999979</v>
      </c>
      <c r="B96" s="159">
        <f>(Main!$B$19+Main!$B$20*((Main!$B$55/1000)+Helper_calcs!$B$31))/(Freq_fold!A96-Main!$B$20*(Helper_calcs!$B$30-Helper_calcs!$B$31))</f>
        <v>0.15955346294046183</v>
      </c>
      <c r="C96" s="149">
        <f>IF(B96&gt;$B$12,IF(B96&gt;$B$13,1/(Helper_calcs!$B$36+Helper_calcs!$B$35),(1-Freq_fold!B96)/Helper_calcs!$B$35),IF(Freq_fold!B96&lt;Freq_fold!$B$11,Freq_fold!B96/Helper_calcs!$B$34,loop_gain!$B$18))</f>
        <v>2100000</v>
      </c>
      <c r="D96" s="149">
        <f t="shared" si="4"/>
        <v>2100</v>
      </c>
    </row>
    <row r="97" spans="1:4" x14ac:dyDescent="0.25">
      <c r="A97">
        <f t="shared" si="3"/>
        <v>33.999999999999979</v>
      </c>
      <c r="B97" s="159">
        <f>(Main!$B$19+Main!$B$20*((Main!$B$55/1000)+Helper_calcs!$B$31))/(Freq_fold!A97-Main!$B$20*(Helper_calcs!$B$30-Helper_calcs!$B$31))</f>
        <v>0.1548496462264152</v>
      </c>
      <c r="C97" s="149">
        <f>IF(B97&gt;$B$12,IF(B97&gt;$B$13,1/(Helper_calcs!$B$36+Helper_calcs!$B$35),(1-Freq_fold!B97)/Helper_calcs!$B$35),IF(Freq_fold!B97&lt;Freq_fold!$B$11,Freq_fold!B97/Helper_calcs!$B$34,loop_gain!$B$18))</f>
        <v>2100000</v>
      </c>
      <c r="D97" s="149">
        <f t="shared" si="4"/>
        <v>2100</v>
      </c>
    </row>
    <row r="98" spans="1:4" x14ac:dyDescent="0.25">
      <c r="A98">
        <f t="shared" si="3"/>
        <v>34.999999999999979</v>
      </c>
      <c r="B98" s="159">
        <f>(Main!$B$19+Main!$B$20*((Main!$B$55/1000)+Helper_calcs!$B$31))/(Freq_fold!A98-Main!$B$20*(Helper_calcs!$B$30-Helper_calcs!$B$31))</f>
        <v>0.15041523482245142</v>
      </c>
      <c r="C98" s="149">
        <f>IF(B98&gt;$B$12,IF(B98&gt;$B$13,1/(Helper_calcs!$B$36+Helper_calcs!$B$35),(1-Freq_fold!B98)/Helper_calcs!$B$35),IF(Freq_fold!B98&lt;Freq_fold!$B$11,Freq_fold!B98/Helper_calcs!$B$34,loop_gain!$B$18))</f>
        <v>2100000</v>
      </c>
      <c r="D98" s="149">
        <f t="shared" si="4"/>
        <v>2100</v>
      </c>
    </row>
    <row r="99" spans="1:4" x14ac:dyDescent="0.25">
      <c r="A99">
        <f t="shared" si="3"/>
        <v>35.999999999999979</v>
      </c>
      <c r="B99" s="159">
        <f>(Main!$B$19+Main!$B$20*((Main!$B$55/1000)+Helper_calcs!$B$31))/(Freq_fold!A99-Main!$B$20*(Helper_calcs!$B$30-Helper_calcs!$B$31))</f>
        <v>0.14622772828507805</v>
      </c>
      <c r="C99" s="149">
        <f>IF(B99&gt;$B$12,IF(B99&gt;$B$13,1/(Helper_calcs!$B$36+Helper_calcs!$B$35),(1-Freq_fold!B99)/Helper_calcs!$B$35),IF(Freq_fold!B99&lt;Freq_fold!$B$11,Freq_fold!B99/Helper_calcs!$B$34,loop_gain!$B$18))</f>
        <v>2100000</v>
      </c>
      <c r="D99" s="149">
        <f t="shared" si="4"/>
        <v>2100</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7:Q643"/>
  <sheetViews>
    <sheetView zoomScale="115" zoomScaleNormal="115" workbookViewId="0">
      <selection activeCell="B18" sqref="B18"/>
    </sheetView>
  </sheetViews>
  <sheetFormatPr defaultRowHeight="15.75" x14ac:dyDescent="0.25"/>
  <cols>
    <col min="1" max="1" width="20.25" customWidth="1"/>
    <col min="2" max="2" width="13.75" customWidth="1"/>
    <col min="3" max="3" width="2.5" customWidth="1"/>
    <col min="4" max="4" width="7.25" customWidth="1"/>
    <col min="5" max="5" width="10.25" customWidth="1"/>
    <col min="6" max="6" width="9.75" customWidth="1"/>
    <col min="7" max="9" width="8.875" customWidth="1"/>
    <col min="10" max="10" width="2.5" customWidth="1"/>
    <col min="11" max="11" width="3.375" customWidth="1"/>
    <col min="12" max="12" width="4.75" customWidth="1"/>
    <col min="13" max="13" width="9.375" customWidth="1"/>
    <col min="14" max="14" width="10.25" customWidth="1"/>
    <col min="15" max="15" width="11.125" customWidth="1"/>
    <col min="16" max="16" width="12" customWidth="1"/>
    <col min="17" max="17" width="12.25" customWidth="1"/>
  </cols>
  <sheetData>
    <row r="7" spans="1:2" x14ac:dyDescent="0.25">
      <c r="A7" s="146">
        <v>43973</v>
      </c>
    </row>
    <row r="11" spans="1:2" x14ac:dyDescent="0.25">
      <c r="A11" t="s">
        <v>266</v>
      </c>
      <c r="B11" s="148">
        <f>((Main!B18-Main!B19)*Main!B19/Main!B18)/(loop_gain!B17*loop_gain!B18)</f>
        <v>0.42087542087542085</v>
      </c>
    </row>
    <row r="12" spans="1:2" x14ac:dyDescent="0.25">
      <c r="A12" t="s">
        <v>265</v>
      </c>
      <c r="B12" s="63">
        <f>B11*loop_gain!B18</f>
        <v>883838.38383838383</v>
      </c>
    </row>
    <row r="13" spans="1:2" x14ac:dyDescent="0.25">
      <c r="A13" t="s">
        <v>267</v>
      </c>
      <c r="B13" s="148">
        <f>Helper_calcs!B15+0.5*Current_limit!B11</f>
        <v>3.4104377104377104</v>
      </c>
    </row>
    <row r="14" spans="1:2" x14ac:dyDescent="0.25">
      <c r="A14" t="s">
        <v>268</v>
      </c>
      <c r="B14" s="148">
        <f>(Helper_calcs!B14+Helper_calcs!B15)/2</f>
        <v>3.55</v>
      </c>
    </row>
    <row r="15" spans="1:2" x14ac:dyDescent="0.25">
      <c r="A15" t="s">
        <v>269</v>
      </c>
      <c r="B15" s="148">
        <f>Helper_calcs!B14-0.5*Current_limit!B11</f>
        <v>3.6895622895622893</v>
      </c>
    </row>
    <row r="16" spans="1:2" x14ac:dyDescent="0.25">
      <c r="A16" t="s">
        <v>278</v>
      </c>
      <c r="B16" s="164" t="str">
        <f>IF(B15&lt;B13,"Y","N")</f>
        <v>N</v>
      </c>
    </row>
    <row r="18" spans="1:17" x14ac:dyDescent="0.25">
      <c r="A18" t="s">
        <v>277</v>
      </c>
      <c r="B18" s="63">
        <f>M643</f>
        <v>0</v>
      </c>
    </row>
    <row r="22" spans="1:17" x14ac:dyDescent="0.25">
      <c r="A22" s="67" t="s">
        <v>246</v>
      </c>
      <c r="B22" s="67" t="s">
        <v>262</v>
      </c>
      <c r="D22" s="165" t="s">
        <v>270</v>
      </c>
      <c r="E22" s="165" t="s">
        <v>271</v>
      </c>
      <c r="F22" s="165" t="s">
        <v>272</v>
      </c>
      <c r="G22" s="165" t="s">
        <v>273</v>
      </c>
      <c r="H22" s="165" t="s">
        <v>274</v>
      </c>
      <c r="I22" s="165" t="s">
        <v>275</v>
      </c>
      <c r="J22" s="165"/>
      <c r="K22" s="67"/>
      <c r="L22" s="67"/>
      <c r="M22" s="67" t="s">
        <v>254</v>
      </c>
      <c r="N22" s="67" t="s">
        <v>264</v>
      </c>
      <c r="O22" s="67" t="s">
        <v>263</v>
      </c>
      <c r="P22" s="67" t="s">
        <v>259</v>
      </c>
      <c r="Q22" s="67"/>
    </row>
    <row r="23" spans="1:17" x14ac:dyDescent="0.25">
      <c r="A23">
        <v>0.1</v>
      </c>
      <c r="B23">
        <f>Main!$B$19/A23</f>
        <v>50</v>
      </c>
      <c r="D23" s="161">
        <f t="shared" ref="D23:D86" si="0">B23</f>
        <v>50</v>
      </c>
      <c r="E23" s="161">
        <f>-B23*Main!$B$18-2*Main!$B$18*loop_gain!$B$17*loop_gain!$B$18</f>
        <v>-766.31999999999994</v>
      </c>
      <c r="F23" s="161">
        <f>2*Main!$B$18*loop_gain!$B$17*loop_gain!$B$18*Helper_calcs!$B$14*Current_limit!B23</f>
        <v>32432.399999999994</v>
      </c>
      <c r="G23" s="161" t="e">
        <f>(-E23-SQRT(E23^2-4*D23*F23))/(2*D23)</f>
        <v>#NUM!</v>
      </c>
      <c r="H23" s="161" t="e">
        <f>(Main!$B$18-Current_limit!G23)*Current_limit!G23/(Main!$B$18*loop_gain!$B$17*loop_gain!$B$18)</f>
        <v>#NUM!</v>
      </c>
      <c r="I23" s="161" t="e">
        <f>(G23/B23)-0.5*H23</f>
        <v>#NUM!</v>
      </c>
      <c r="J23" s="161"/>
      <c r="K23" s="163">
        <f>IF(A23&gt;$B$15,IF(I23&gt;Helper_calcs!$B$15,23,3),0)</f>
        <v>0</v>
      </c>
      <c r="L23" s="162">
        <f t="shared" ref="L23:L86" si="1">IF(A23&gt;$B$13,IF(A23&gt;$B$14,2,1),0)</f>
        <v>0</v>
      </c>
      <c r="M23" s="162">
        <f>IF($B$16="N",L23,K23)</f>
        <v>0</v>
      </c>
      <c r="N23" s="161">
        <f>IF(OR(M23=0,M23=1),A23,IF(OR(M23=2,M23=23),$B$14,G23/B23))</f>
        <v>0.1</v>
      </c>
      <c r="O23" s="161">
        <f>N23*B23</f>
        <v>5</v>
      </c>
      <c r="P23" s="149">
        <f>IF(OR(M23=0,M23=3),loop_gain!$B$18,IF(Current_limit!M23=1,Current_limit!$B$12/(2*(Current_limit!N23-Helper_calcs!$B$15)),IF(OR(M23=2,M23=23),(Main!$B$18-Current_limit!O23)*Current_limit!O23/(Main!$B$18*loop_gain!$B$17*(Helper_calcs!$B$14-Helper_calcs!$B$15)),x)))</f>
        <v>2100000</v>
      </c>
      <c r="Q23" s="161"/>
    </row>
    <row r="24" spans="1:17" x14ac:dyDescent="0.25">
      <c r="A24">
        <f>A23+0.1</f>
        <v>0.2</v>
      </c>
      <c r="B24">
        <f>Main!$B$19/A24</f>
        <v>25</v>
      </c>
      <c r="D24" s="161">
        <f t="shared" si="0"/>
        <v>25</v>
      </c>
      <c r="E24" s="161">
        <f>-B24*Main!$B$18-2*Main!$B$18*loop_gain!$B$17*loop_gain!$B$18</f>
        <v>-466.32</v>
      </c>
      <c r="F24" s="161">
        <f>2*Main!$B$18*loop_gain!$B$17*loop_gain!$B$18*Helper_calcs!$B$14*Current_limit!B24</f>
        <v>16216.199999999997</v>
      </c>
      <c r="G24" s="161" t="e">
        <f t="shared" ref="G24:G87" si="2">(-E24-SQRT(E24^2-4*D24*F24))/(2*D24)</f>
        <v>#NUM!</v>
      </c>
      <c r="H24" s="161" t="e">
        <f>(Main!$B$18-Current_limit!G24)*Current_limit!G24/(Main!$B$18*loop_gain!$B$17*loop_gain!$B$18)</f>
        <v>#NUM!</v>
      </c>
      <c r="I24" s="161" t="e">
        <f t="shared" ref="I24:I87" si="3">(G24/B24)-0.5*H24</f>
        <v>#NUM!</v>
      </c>
      <c r="J24" s="161"/>
      <c r="K24" s="163">
        <f>IF(A24&gt;$B$15,IF(I24&gt;Helper_calcs!$B$15,23,3),0)</f>
        <v>0</v>
      </c>
      <c r="L24" s="162">
        <f t="shared" si="1"/>
        <v>0</v>
      </c>
      <c r="M24" s="162">
        <f t="shared" ref="M24:M87" si="4">IF($B$16="N",L24,K24)</f>
        <v>0</v>
      </c>
      <c r="N24" s="161">
        <f t="shared" ref="N24:N87" si="5">IF(OR(M24=0,M24=1),A24,IF(OR(M24=2,M24=23),$B$14,G24/B24))</f>
        <v>0.2</v>
      </c>
      <c r="O24" s="161">
        <f t="shared" ref="O24:O87" si="6">N24*B24</f>
        <v>5</v>
      </c>
      <c r="P24" s="149">
        <f>IF(OR(M24=0,M24=3),loop_gain!$B$18,IF(Current_limit!M24=1,Current_limit!$B$12/(2*(Current_limit!N24-Helper_calcs!$B$15)),IF(OR(M24=2,M24=23),(Main!$B$18-Current_limit!O24)*Current_limit!O24/(Main!$B$18*loop_gain!$B$17*(Helper_calcs!$B$14-Helper_calcs!$B$15)),x)))</f>
        <v>2100000</v>
      </c>
      <c r="Q24" s="161"/>
    </row>
    <row r="25" spans="1:17" x14ac:dyDescent="0.25">
      <c r="A25">
        <f t="shared" ref="A25:A31" si="7">A24+0.1</f>
        <v>0.30000000000000004</v>
      </c>
      <c r="B25">
        <f>Main!$B$19/A25</f>
        <v>16.666666666666664</v>
      </c>
      <c r="D25" s="161">
        <f t="shared" si="0"/>
        <v>16.666666666666664</v>
      </c>
      <c r="E25" s="161">
        <f>-B25*Main!$B$18-2*Main!$B$18*loop_gain!$B$17*loop_gain!$B$18</f>
        <v>-366.31999999999994</v>
      </c>
      <c r="F25" s="161">
        <f>2*Main!$B$18*loop_gain!$B$17*loop_gain!$B$18*Helper_calcs!$B$14*Current_limit!B25</f>
        <v>10810.799999999997</v>
      </c>
      <c r="G25" s="161" t="e">
        <f t="shared" si="2"/>
        <v>#NUM!</v>
      </c>
      <c r="H25" s="161" t="e">
        <f>(Main!$B$18-Current_limit!G25)*Current_limit!G25/(Main!$B$18*loop_gain!$B$17*loop_gain!$B$18)</f>
        <v>#NUM!</v>
      </c>
      <c r="I25" s="161" t="e">
        <f t="shared" si="3"/>
        <v>#NUM!</v>
      </c>
      <c r="J25" s="161"/>
      <c r="K25" s="163">
        <f>IF(A25&gt;$B$15,IF(I25&gt;Helper_calcs!$B$15,23,3),0)</f>
        <v>0</v>
      </c>
      <c r="L25" s="162">
        <f t="shared" si="1"/>
        <v>0</v>
      </c>
      <c r="M25" s="162">
        <f t="shared" si="4"/>
        <v>0</v>
      </c>
      <c r="N25" s="161">
        <f t="shared" si="5"/>
        <v>0.30000000000000004</v>
      </c>
      <c r="O25" s="161">
        <f t="shared" si="6"/>
        <v>5</v>
      </c>
      <c r="P25" s="149">
        <f>IF(OR(M25=0,M25=3),loop_gain!$B$18,IF(Current_limit!M25=1,Current_limit!$B$12/(2*(Current_limit!N25-Helper_calcs!$B$15)),IF(OR(M25=2,M25=23),(Main!$B$18-Current_limit!O25)*Current_limit!O25/(Main!$B$18*loop_gain!$B$17*(Helper_calcs!$B$14-Helper_calcs!$B$15)),x)))</f>
        <v>2100000</v>
      </c>
      <c r="Q25" s="161"/>
    </row>
    <row r="26" spans="1:17" x14ac:dyDescent="0.25">
      <c r="A26">
        <f t="shared" si="7"/>
        <v>0.4</v>
      </c>
      <c r="B26">
        <f>Main!$B$19/A26</f>
        <v>12.5</v>
      </c>
      <c r="D26" s="161">
        <f t="shared" si="0"/>
        <v>12.5</v>
      </c>
      <c r="E26" s="161">
        <f>-B26*Main!$B$18-2*Main!$B$18*loop_gain!$B$17*loop_gain!$B$18</f>
        <v>-316.32</v>
      </c>
      <c r="F26" s="161">
        <f>2*Main!$B$18*loop_gain!$B$17*loop_gain!$B$18*Helper_calcs!$B$14*Current_limit!B26</f>
        <v>8108.0999999999985</v>
      </c>
      <c r="G26" s="161" t="e">
        <f t="shared" si="2"/>
        <v>#NUM!</v>
      </c>
      <c r="H26" s="161" t="e">
        <f>(Main!$B$18-Current_limit!G26)*Current_limit!G26/(Main!$B$18*loop_gain!$B$17*loop_gain!$B$18)</f>
        <v>#NUM!</v>
      </c>
      <c r="I26" s="161" t="e">
        <f t="shared" si="3"/>
        <v>#NUM!</v>
      </c>
      <c r="J26" s="161"/>
      <c r="K26" s="163">
        <f>IF(A26&gt;$B$15,IF(I26&gt;Helper_calcs!$B$15,23,3),0)</f>
        <v>0</v>
      </c>
      <c r="L26" s="162">
        <f t="shared" si="1"/>
        <v>0</v>
      </c>
      <c r="M26" s="162">
        <f t="shared" si="4"/>
        <v>0</v>
      </c>
      <c r="N26" s="161">
        <f t="shared" si="5"/>
        <v>0.4</v>
      </c>
      <c r="O26" s="161">
        <f t="shared" si="6"/>
        <v>5</v>
      </c>
      <c r="P26" s="149">
        <f>IF(OR(M26=0,M26=3),loop_gain!$B$18,IF(Current_limit!M26=1,Current_limit!$B$12/(2*(Current_limit!N26-Helper_calcs!$B$15)),IF(OR(M26=2,M26=23),(Main!$B$18-Current_limit!O26)*Current_limit!O26/(Main!$B$18*loop_gain!$B$17*(Helper_calcs!$B$14-Helper_calcs!$B$15)),x)))</f>
        <v>2100000</v>
      </c>
      <c r="Q26" s="161"/>
    </row>
    <row r="27" spans="1:17" x14ac:dyDescent="0.25">
      <c r="A27">
        <f t="shared" si="7"/>
        <v>0.5</v>
      </c>
      <c r="B27">
        <f>Main!$B$19/A27</f>
        <v>10</v>
      </c>
      <c r="D27" s="161">
        <f t="shared" si="0"/>
        <v>10</v>
      </c>
      <c r="E27" s="161">
        <f>-B27*Main!$B$18-2*Main!$B$18*loop_gain!$B$17*loop_gain!$B$18</f>
        <v>-286.32</v>
      </c>
      <c r="F27" s="161">
        <f>2*Main!$B$18*loop_gain!$B$17*loop_gain!$B$18*Helper_calcs!$B$14*Current_limit!B27</f>
        <v>6486.48</v>
      </c>
      <c r="G27" s="161" t="e">
        <f t="shared" si="2"/>
        <v>#NUM!</v>
      </c>
      <c r="H27" s="161" t="e">
        <f>(Main!$B$18-Current_limit!G27)*Current_limit!G27/(Main!$B$18*loop_gain!$B$17*loop_gain!$B$18)</f>
        <v>#NUM!</v>
      </c>
      <c r="I27" s="161" t="e">
        <f t="shared" si="3"/>
        <v>#NUM!</v>
      </c>
      <c r="J27" s="161"/>
      <c r="K27" s="163">
        <f>IF(A27&gt;$B$15,IF(I27&gt;Helper_calcs!$B$15,23,3),0)</f>
        <v>0</v>
      </c>
      <c r="L27" s="162">
        <f t="shared" si="1"/>
        <v>0</v>
      </c>
      <c r="M27" s="162">
        <f t="shared" si="4"/>
        <v>0</v>
      </c>
      <c r="N27" s="161">
        <f t="shared" si="5"/>
        <v>0.5</v>
      </c>
      <c r="O27" s="161">
        <f t="shared" si="6"/>
        <v>5</v>
      </c>
      <c r="P27" s="149">
        <f>IF(OR(M27=0,M27=3),loop_gain!$B$18,IF(Current_limit!M27=1,Current_limit!$B$12/(2*(Current_limit!N27-Helper_calcs!$B$15)),IF(OR(M27=2,M27=23),(Main!$B$18-Current_limit!O27)*Current_limit!O27/(Main!$B$18*loop_gain!$B$17*(Helper_calcs!$B$14-Helper_calcs!$B$15)),x)))</f>
        <v>2100000</v>
      </c>
      <c r="Q27" s="161"/>
    </row>
    <row r="28" spans="1:17" x14ac:dyDescent="0.25">
      <c r="A28">
        <f t="shared" si="7"/>
        <v>0.6</v>
      </c>
      <c r="B28">
        <f>Main!$B$19/A28</f>
        <v>8.3333333333333339</v>
      </c>
      <c r="D28" s="161">
        <f t="shared" si="0"/>
        <v>8.3333333333333339</v>
      </c>
      <c r="E28" s="161">
        <f>-B28*Main!$B$18-2*Main!$B$18*loop_gain!$B$17*loop_gain!$B$18</f>
        <v>-266.32</v>
      </c>
      <c r="F28" s="161">
        <f>2*Main!$B$18*loop_gain!$B$17*loop_gain!$B$18*Helper_calcs!$B$14*Current_limit!B28</f>
        <v>5405.4</v>
      </c>
      <c r="G28" s="161" t="e">
        <f t="shared" si="2"/>
        <v>#NUM!</v>
      </c>
      <c r="H28" s="161" t="e">
        <f>(Main!$B$18-Current_limit!G28)*Current_limit!G28/(Main!$B$18*loop_gain!$B$17*loop_gain!$B$18)</f>
        <v>#NUM!</v>
      </c>
      <c r="I28" s="161" t="e">
        <f t="shared" si="3"/>
        <v>#NUM!</v>
      </c>
      <c r="J28" s="161"/>
      <c r="K28" s="163">
        <f>IF(A28&gt;$B$15,IF(I28&gt;Helper_calcs!$B$15,23,3),0)</f>
        <v>0</v>
      </c>
      <c r="L28" s="162">
        <f t="shared" si="1"/>
        <v>0</v>
      </c>
      <c r="M28" s="162">
        <f t="shared" si="4"/>
        <v>0</v>
      </c>
      <c r="N28" s="161">
        <f t="shared" si="5"/>
        <v>0.6</v>
      </c>
      <c r="O28" s="161">
        <f t="shared" si="6"/>
        <v>5</v>
      </c>
      <c r="P28" s="149">
        <f>IF(OR(M28=0,M28=3),loop_gain!$B$18,IF(Current_limit!M28=1,Current_limit!$B$12/(2*(Current_limit!N28-Helper_calcs!$B$15)),IF(OR(M28=2,M28=23),(Main!$B$18-Current_limit!O28)*Current_limit!O28/(Main!$B$18*loop_gain!$B$17*(Helper_calcs!$B$14-Helper_calcs!$B$15)),x)))</f>
        <v>2100000</v>
      </c>
      <c r="Q28" s="161"/>
    </row>
    <row r="29" spans="1:17" x14ac:dyDescent="0.25">
      <c r="A29">
        <f t="shared" si="7"/>
        <v>0.7</v>
      </c>
      <c r="B29">
        <f>Main!$B$19/A29</f>
        <v>7.1428571428571432</v>
      </c>
      <c r="D29" s="161">
        <f t="shared" si="0"/>
        <v>7.1428571428571432</v>
      </c>
      <c r="E29" s="161">
        <f>-B29*Main!$B$18-2*Main!$B$18*loop_gain!$B$17*loop_gain!$B$18</f>
        <v>-252.03428571428572</v>
      </c>
      <c r="F29" s="161">
        <f>2*Main!$B$18*loop_gain!$B$17*loop_gain!$B$18*Helper_calcs!$B$14*Current_limit!B29</f>
        <v>4633.2</v>
      </c>
      <c r="G29" s="161" t="e">
        <f t="shared" si="2"/>
        <v>#NUM!</v>
      </c>
      <c r="H29" s="161" t="e">
        <f>(Main!$B$18-Current_limit!G29)*Current_limit!G29/(Main!$B$18*loop_gain!$B$17*loop_gain!$B$18)</f>
        <v>#NUM!</v>
      </c>
      <c r="I29" s="161" t="e">
        <f t="shared" si="3"/>
        <v>#NUM!</v>
      </c>
      <c r="J29" s="161"/>
      <c r="K29" s="163">
        <f>IF(A29&gt;$B$15,IF(I29&gt;Helper_calcs!$B$15,23,3),0)</f>
        <v>0</v>
      </c>
      <c r="L29" s="162">
        <f t="shared" si="1"/>
        <v>0</v>
      </c>
      <c r="M29" s="162">
        <f t="shared" si="4"/>
        <v>0</v>
      </c>
      <c r="N29" s="161">
        <f t="shared" si="5"/>
        <v>0.7</v>
      </c>
      <c r="O29" s="161">
        <f t="shared" si="6"/>
        <v>5</v>
      </c>
      <c r="P29" s="149">
        <f>IF(OR(M29=0,M29=3),loop_gain!$B$18,IF(Current_limit!M29=1,Current_limit!$B$12/(2*(Current_limit!N29-Helper_calcs!$B$15)),IF(OR(M29=2,M29=23),(Main!$B$18-Current_limit!O29)*Current_limit!O29/(Main!$B$18*loop_gain!$B$17*(Helper_calcs!$B$14-Helper_calcs!$B$15)),x)))</f>
        <v>2100000</v>
      </c>
      <c r="Q29" s="161"/>
    </row>
    <row r="30" spans="1:17" x14ac:dyDescent="0.25">
      <c r="A30">
        <f t="shared" si="7"/>
        <v>0.79999999999999993</v>
      </c>
      <c r="B30">
        <f>Main!$B$19/A30</f>
        <v>6.2500000000000009</v>
      </c>
      <c r="D30" s="161">
        <f t="shared" si="0"/>
        <v>6.2500000000000009</v>
      </c>
      <c r="E30" s="161">
        <f>-B30*Main!$B$18-2*Main!$B$18*loop_gain!$B$17*loop_gain!$B$18</f>
        <v>-241.32</v>
      </c>
      <c r="F30" s="161">
        <f>2*Main!$B$18*loop_gain!$B$17*loop_gain!$B$18*Helper_calcs!$B$14*Current_limit!B30</f>
        <v>4054.05</v>
      </c>
      <c r="G30" s="161" t="e">
        <f t="shared" si="2"/>
        <v>#NUM!</v>
      </c>
      <c r="H30" s="161" t="e">
        <f>(Main!$B$18-Current_limit!G30)*Current_limit!G30/(Main!$B$18*loop_gain!$B$17*loop_gain!$B$18)</f>
        <v>#NUM!</v>
      </c>
      <c r="I30" s="161" t="e">
        <f t="shared" si="3"/>
        <v>#NUM!</v>
      </c>
      <c r="J30" s="161"/>
      <c r="K30" s="163">
        <f>IF(A30&gt;$B$15,IF(I30&gt;Helper_calcs!$B$15,23,3),0)</f>
        <v>0</v>
      </c>
      <c r="L30" s="162">
        <f t="shared" si="1"/>
        <v>0</v>
      </c>
      <c r="M30" s="162">
        <f t="shared" si="4"/>
        <v>0</v>
      </c>
      <c r="N30" s="161">
        <f t="shared" si="5"/>
        <v>0.79999999999999993</v>
      </c>
      <c r="O30" s="161">
        <f t="shared" si="6"/>
        <v>5</v>
      </c>
      <c r="P30" s="149">
        <f>IF(OR(M30=0,M30=3),loop_gain!$B$18,IF(Current_limit!M30=1,Current_limit!$B$12/(2*(Current_limit!N30-Helper_calcs!$B$15)),IF(OR(M30=2,M30=23),(Main!$B$18-Current_limit!O30)*Current_limit!O30/(Main!$B$18*loop_gain!$B$17*(Helper_calcs!$B$14-Helper_calcs!$B$15)),x)))</f>
        <v>2100000</v>
      </c>
      <c r="Q30" s="161"/>
    </row>
    <row r="31" spans="1:17" x14ac:dyDescent="0.25">
      <c r="A31">
        <f t="shared" si="7"/>
        <v>0.89999999999999991</v>
      </c>
      <c r="B31">
        <f>Main!$B$19/A31</f>
        <v>5.5555555555555562</v>
      </c>
      <c r="D31" s="161">
        <f t="shared" si="0"/>
        <v>5.5555555555555562</v>
      </c>
      <c r="E31" s="161">
        <f>-B31*Main!$B$18-2*Main!$B$18*loop_gain!$B$17*loop_gain!$B$18</f>
        <v>-232.98666666666668</v>
      </c>
      <c r="F31" s="161">
        <f>2*Main!$B$18*loop_gain!$B$17*loop_gain!$B$18*Helper_calcs!$B$14*Current_limit!B31</f>
        <v>3603.6</v>
      </c>
      <c r="G31" s="161" t="e">
        <f t="shared" si="2"/>
        <v>#NUM!</v>
      </c>
      <c r="H31" s="161" t="e">
        <f>(Main!$B$18-Current_limit!G31)*Current_limit!G31/(Main!$B$18*loop_gain!$B$17*loop_gain!$B$18)</f>
        <v>#NUM!</v>
      </c>
      <c r="I31" s="161" t="e">
        <f t="shared" si="3"/>
        <v>#NUM!</v>
      </c>
      <c r="J31" s="161"/>
      <c r="K31" s="163">
        <f>IF(A31&gt;$B$15,IF(I31&gt;Helper_calcs!$B$15,23,3),0)</f>
        <v>0</v>
      </c>
      <c r="L31" s="162">
        <f t="shared" si="1"/>
        <v>0</v>
      </c>
      <c r="M31" s="162">
        <f t="shared" si="4"/>
        <v>0</v>
      </c>
      <c r="N31" s="161">
        <f t="shared" si="5"/>
        <v>0.89999999999999991</v>
      </c>
      <c r="O31" s="161">
        <f t="shared" si="6"/>
        <v>5</v>
      </c>
      <c r="P31" s="149">
        <f>IF(OR(M31=0,M31=3),loop_gain!$B$18,IF(Current_limit!M31=1,Current_limit!$B$12/(2*(Current_limit!N31-Helper_calcs!$B$15)),IF(OR(M31=2,M31=23),(Main!$B$18-Current_limit!O31)*Current_limit!O31/(Main!$B$18*loop_gain!$B$17*(Helper_calcs!$B$14-Helper_calcs!$B$15)),x)))</f>
        <v>2100000</v>
      </c>
      <c r="Q31" s="161"/>
    </row>
    <row r="32" spans="1:17" x14ac:dyDescent="0.25">
      <c r="A32">
        <f>A31+0.01</f>
        <v>0.90999999999999992</v>
      </c>
      <c r="B32">
        <f>Main!$B$19/A32</f>
        <v>5.4945054945054954</v>
      </c>
      <c r="D32" s="161">
        <f t="shared" si="0"/>
        <v>5.4945054945054954</v>
      </c>
      <c r="E32" s="161">
        <f>-B32*Main!$B$18-2*Main!$B$18*loop_gain!$B$17*loop_gain!$B$18</f>
        <v>-232.25406593406592</v>
      </c>
      <c r="F32" s="161">
        <f>2*Main!$B$18*loop_gain!$B$17*loop_gain!$B$18*Helper_calcs!$B$14*Current_limit!B32</f>
        <v>3564</v>
      </c>
      <c r="G32" s="161" t="e">
        <f t="shared" si="2"/>
        <v>#NUM!</v>
      </c>
      <c r="H32" s="161" t="e">
        <f>(Main!$B$18-Current_limit!G32)*Current_limit!G32/(Main!$B$18*loop_gain!$B$17*loop_gain!$B$18)</f>
        <v>#NUM!</v>
      </c>
      <c r="I32" s="161" t="e">
        <f t="shared" si="3"/>
        <v>#NUM!</v>
      </c>
      <c r="J32" s="161"/>
      <c r="K32" s="163">
        <f>IF(A32&gt;$B$15,IF(I32&gt;Helper_calcs!$B$15,23,3),0)</f>
        <v>0</v>
      </c>
      <c r="L32" s="162">
        <f t="shared" si="1"/>
        <v>0</v>
      </c>
      <c r="M32" s="162">
        <f t="shared" si="4"/>
        <v>0</v>
      </c>
      <c r="N32" s="161">
        <f t="shared" si="5"/>
        <v>0.90999999999999992</v>
      </c>
      <c r="O32" s="161">
        <f t="shared" si="6"/>
        <v>5</v>
      </c>
      <c r="P32" s="149">
        <f>IF(OR(M32=0,M32=3),loop_gain!$B$18,IF(Current_limit!M32=1,Current_limit!$B$12/(2*(Current_limit!N32-Helper_calcs!$B$15)),IF(OR(M32=2,M32=23),(Main!$B$18-Current_limit!O32)*Current_limit!O32/(Main!$B$18*loop_gain!$B$17*(Helper_calcs!$B$14-Helper_calcs!$B$15)),x)))</f>
        <v>2100000</v>
      </c>
      <c r="Q32" s="161"/>
    </row>
    <row r="33" spans="1:17" x14ac:dyDescent="0.25">
      <c r="A33">
        <f t="shared" ref="A33:A96" si="8">A32+0.01</f>
        <v>0.91999999999999993</v>
      </c>
      <c r="B33">
        <f>Main!$B$19/A33</f>
        <v>5.4347826086956523</v>
      </c>
      <c r="D33" s="161">
        <f t="shared" si="0"/>
        <v>5.4347826086956523</v>
      </c>
      <c r="E33" s="161">
        <f>-B33*Main!$B$18-2*Main!$B$18*loop_gain!$B$17*loop_gain!$B$18</f>
        <v>-231.53739130434781</v>
      </c>
      <c r="F33" s="161">
        <f>2*Main!$B$18*loop_gain!$B$17*loop_gain!$B$18*Helper_calcs!$B$14*Current_limit!B33</f>
        <v>3525.260869565217</v>
      </c>
      <c r="G33" s="161" t="e">
        <f t="shared" si="2"/>
        <v>#NUM!</v>
      </c>
      <c r="H33" s="161" t="e">
        <f>(Main!$B$18-Current_limit!G33)*Current_limit!G33/(Main!$B$18*loop_gain!$B$17*loop_gain!$B$18)</f>
        <v>#NUM!</v>
      </c>
      <c r="I33" s="161" t="e">
        <f t="shared" si="3"/>
        <v>#NUM!</v>
      </c>
      <c r="J33" s="161"/>
      <c r="K33" s="163">
        <f>IF(A33&gt;$B$15,IF(I33&gt;Helper_calcs!$B$15,23,3),0)</f>
        <v>0</v>
      </c>
      <c r="L33" s="162">
        <f t="shared" si="1"/>
        <v>0</v>
      </c>
      <c r="M33" s="162">
        <f t="shared" si="4"/>
        <v>0</v>
      </c>
      <c r="N33" s="161">
        <f t="shared" si="5"/>
        <v>0.91999999999999993</v>
      </c>
      <c r="O33" s="161">
        <f t="shared" si="6"/>
        <v>5</v>
      </c>
      <c r="P33" s="149">
        <f>IF(OR(M33=0,M33=3),loop_gain!$B$18,IF(Current_limit!M33=1,Current_limit!$B$12/(2*(Current_limit!N33-Helper_calcs!$B$15)),IF(OR(M33=2,M33=23),(Main!$B$18-Current_limit!O33)*Current_limit!O33/(Main!$B$18*loop_gain!$B$17*(Helper_calcs!$B$14-Helper_calcs!$B$15)),x)))</f>
        <v>2100000</v>
      </c>
      <c r="Q33" s="161"/>
    </row>
    <row r="34" spans="1:17" x14ac:dyDescent="0.25">
      <c r="A34">
        <f t="shared" si="8"/>
        <v>0.92999999999999994</v>
      </c>
      <c r="B34">
        <f>Main!$B$19/A34</f>
        <v>5.3763440860215059</v>
      </c>
      <c r="D34" s="161">
        <f t="shared" si="0"/>
        <v>5.3763440860215059</v>
      </c>
      <c r="E34" s="161">
        <f>-B34*Main!$B$18-2*Main!$B$18*loop_gain!$B$17*loop_gain!$B$18</f>
        <v>-230.83612903225807</v>
      </c>
      <c r="F34" s="161">
        <f>2*Main!$B$18*loop_gain!$B$17*loop_gain!$B$18*Helper_calcs!$B$14*Current_limit!B34</f>
        <v>3487.3548387096771</v>
      </c>
      <c r="G34" s="161" t="e">
        <f t="shared" si="2"/>
        <v>#NUM!</v>
      </c>
      <c r="H34" s="161" t="e">
        <f>(Main!$B$18-Current_limit!G34)*Current_limit!G34/(Main!$B$18*loop_gain!$B$17*loop_gain!$B$18)</f>
        <v>#NUM!</v>
      </c>
      <c r="I34" s="161" t="e">
        <f t="shared" si="3"/>
        <v>#NUM!</v>
      </c>
      <c r="J34" s="161"/>
      <c r="K34" s="163">
        <f>IF(A34&gt;$B$15,IF(I34&gt;Helper_calcs!$B$15,23,3),0)</f>
        <v>0</v>
      </c>
      <c r="L34" s="162">
        <f t="shared" si="1"/>
        <v>0</v>
      </c>
      <c r="M34" s="162">
        <f t="shared" si="4"/>
        <v>0</v>
      </c>
      <c r="N34" s="161">
        <f t="shared" si="5"/>
        <v>0.92999999999999994</v>
      </c>
      <c r="O34" s="161">
        <f t="shared" si="6"/>
        <v>5</v>
      </c>
      <c r="P34" s="149">
        <f>IF(OR(M34=0,M34=3),loop_gain!$B$18,IF(Current_limit!M34=1,Current_limit!$B$12/(2*(Current_limit!N34-Helper_calcs!$B$15)),IF(OR(M34=2,M34=23),(Main!$B$18-Current_limit!O34)*Current_limit!O34/(Main!$B$18*loop_gain!$B$17*(Helper_calcs!$B$14-Helper_calcs!$B$15)),x)))</f>
        <v>2100000</v>
      </c>
      <c r="Q34" s="161"/>
    </row>
    <row r="35" spans="1:17" x14ac:dyDescent="0.25">
      <c r="A35">
        <f t="shared" si="8"/>
        <v>0.94</v>
      </c>
      <c r="B35">
        <f>Main!$B$19/A35</f>
        <v>5.3191489361702127</v>
      </c>
      <c r="D35" s="161">
        <f t="shared" si="0"/>
        <v>5.3191489361702127</v>
      </c>
      <c r="E35" s="161">
        <f>-B35*Main!$B$18-2*Main!$B$18*loop_gain!$B$17*loop_gain!$B$18</f>
        <v>-230.14978723404255</v>
      </c>
      <c r="F35" s="161">
        <f>2*Main!$B$18*loop_gain!$B$17*loop_gain!$B$18*Helper_calcs!$B$14*Current_limit!B35</f>
        <v>3450.2553191489355</v>
      </c>
      <c r="G35" s="161" t="e">
        <f t="shared" si="2"/>
        <v>#NUM!</v>
      </c>
      <c r="H35" s="161" t="e">
        <f>(Main!$B$18-Current_limit!G35)*Current_limit!G35/(Main!$B$18*loop_gain!$B$17*loop_gain!$B$18)</f>
        <v>#NUM!</v>
      </c>
      <c r="I35" s="161" t="e">
        <f t="shared" si="3"/>
        <v>#NUM!</v>
      </c>
      <c r="J35" s="161"/>
      <c r="K35" s="163">
        <f>IF(A35&gt;$B$15,IF(I35&gt;Helper_calcs!$B$15,23,3),0)</f>
        <v>0</v>
      </c>
      <c r="L35" s="162">
        <f t="shared" si="1"/>
        <v>0</v>
      </c>
      <c r="M35" s="162">
        <f t="shared" si="4"/>
        <v>0</v>
      </c>
      <c r="N35" s="161">
        <f t="shared" si="5"/>
        <v>0.94</v>
      </c>
      <c r="O35" s="161">
        <f t="shared" si="6"/>
        <v>5</v>
      </c>
      <c r="P35" s="149">
        <f>IF(OR(M35=0,M35=3),loop_gain!$B$18,IF(Current_limit!M35=1,Current_limit!$B$12/(2*(Current_limit!N35-Helper_calcs!$B$15)),IF(OR(M35=2,M35=23),(Main!$B$18-Current_limit!O35)*Current_limit!O35/(Main!$B$18*loop_gain!$B$17*(Helper_calcs!$B$14-Helper_calcs!$B$15)),x)))</f>
        <v>2100000</v>
      </c>
      <c r="Q35" s="161"/>
    </row>
    <row r="36" spans="1:17" x14ac:dyDescent="0.25">
      <c r="A36">
        <f t="shared" si="8"/>
        <v>0.95</v>
      </c>
      <c r="B36">
        <f>Main!$B$19/A36</f>
        <v>5.2631578947368425</v>
      </c>
      <c r="D36" s="161">
        <f t="shared" si="0"/>
        <v>5.2631578947368425</v>
      </c>
      <c r="E36" s="161">
        <f>-B36*Main!$B$18-2*Main!$B$18*loop_gain!$B$17*loop_gain!$B$18</f>
        <v>-229.4778947368421</v>
      </c>
      <c r="F36" s="161">
        <f>2*Main!$B$18*loop_gain!$B$17*loop_gain!$B$18*Helper_calcs!$B$14*Current_limit!B36</f>
        <v>3413.9368421052627</v>
      </c>
      <c r="G36" s="161" t="e">
        <f t="shared" si="2"/>
        <v>#NUM!</v>
      </c>
      <c r="H36" s="161" t="e">
        <f>(Main!$B$18-Current_limit!G36)*Current_limit!G36/(Main!$B$18*loop_gain!$B$17*loop_gain!$B$18)</f>
        <v>#NUM!</v>
      </c>
      <c r="I36" s="161" t="e">
        <f t="shared" si="3"/>
        <v>#NUM!</v>
      </c>
      <c r="J36" s="161"/>
      <c r="K36" s="163">
        <f>IF(A36&gt;$B$15,IF(I36&gt;Helper_calcs!$B$15,23,3),0)</f>
        <v>0</v>
      </c>
      <c r="L36" s="162">
        <f t="shared" si="1"/>
        <v>0</v>
      </c>
      <c r="M36" s="162">
        <f t="shared" si="4"/>
        <v>0</v>
      </c>
      <c r="N36" s="161">
        <f t="shared" si="5"/>
        <v>0.95</v>
      </c>
      <c r="O36" s="161">
        <f t="shared" si="6"/>
        <v>5</v>
      </c>
      <c r="P36" s="149">
        <f>IF(OR(M36=0,M36=3),loop_gain!$B$18,IF(Current_limit!M36=1,Current_limit!$B$12/(2*(Current_limit!N36-Helper_calcs!$B$15)),IF(OR(M36=2,M36=23),(Main!$B$18-Current_limit!O36)*Current_limit!O36/(Main!$B$18*loop_gain!$B$17*(Helper_calcs!$B$14-Helper_calcs!$B$15)),x)))</f>
        <v>2100000</v>
      </c>
      <c r="Q36" s="161"/>
    </row>
    <row r="37" spans="1:17" x14ac:dyDescent="0.25">
      <c r="A37">
        <f t="shared" si="8"/>
        <v>0.96</v>
      </c>
      <c r="B37">
        <f>Main!$B$19/A37</f>
        <v>5.2083333333333339</v>
      </c>
      <c r="D37" s="161">
        <f t="shared" si="0"/>
        <v>5.2083333333333339</v>
      </c>
      <c r="E37" s="161">
        <f>-B37*Main!$B$18-2*Main!$B$18*loop_gain!$B$17*loop_gain!$B$18</f>
        <v>-228.82</v>
      </c>
      <c r="F37" s="161">
        <f>2*Main!$B$18*loop_gain!$B$17*loop_gain!$B$18*Helper_calcs!$B$14*Current_limit!B37</f>
        <v>3378.375</v>
      </c>
      <c r="G37" s="161" t="e">
        <f t="shared" si="2"/>
        <v>#NUM!</v>
      </c>
      <c r="H37" s="161" t="e">
        <f>(Main!$B$18-Current_limit!G37)*Current_limit!G37/(Main!$B$18*loop_gain!$B$17*loop_gain!$B$18)</f>
        <v>#NUM!</v>
      </c>
      <c r="I37" s="161" t="e">
        <f t="shared" si="3"/>
        <v>#NUM!</v>
      </c>
      <c r="J37" s="161"/>
      <c r="K37" s="163">
        <f>IF(A37&gt;$B$15,IF(I37&gt;Helper_calcs!$B$15,23,3),0)</f>
        <v>0</v>
      </c>
      <c r="L37" s="162">
        <f t="shared" si="1"/>
        <v>0</v>
      </c>
      <c r="M37" s="162">
        <f t="shared" si="4"/>
        <v>0</v>
      </c>
      <c r="N37" s="161">
        <f t="shared" si="5"/>
        <v>0.96</v>
      </c>
      <c r="O37" s="161">
        <f t="shared" si="6"/>
        <v>5</v>
      </c>
      <c r="P37" s="149">
        <f>IF(OR(M37=0,M37=3),loop_gain!$B$18,IF(Current_limit!M37=1,Current_limit!$B$12/(2*(Current_limit!N37-Helper_calcs!$B$15)),IF(OR(M37=2,M37=23),(Main!$B$18-Current_limit!O37)*Current_limit!O37/(Main!$B$18*loop_gain!$B$17*(Helper_calcs!$B$14-Helper_calcs!$B$15)),x)))</f>
        <v>2100000</v>
      </c>
      <c r="Q37" s="161"/>
    </row>
    <row r="38" spans="1:17" x14ac:dyDescent="0.25">
      <c r="A38">
        <f t="shared" si="8"/>
        <v>0.97</v>
      </c>
      <c r="B38">
        <f>Main!$B$19/A38</f>
        <v>5.1546391752577323</v>
      </c>
      <c r="D38" s="161">
        <f t="shared" si="0"/>
        <v>5.1546391752577323</v>
      </c>
      <c r="E38" s="161">
        <f>-B38*Main!$B$18-2*Main!$B$18*loop_gain!$B$17*loop_gain!$B$18</f>
        <v>-228.17567010309278</v>
      </c>
      <c r="F38" s="161">
        <f>2*Main!$B$18*loop_gain!$B$17*loop_gain!$B$18*Helper_calcs!$B$14*Current_limit!B38</f>
        <v>3343.5463917525772</v>
      </c>
      <c r="G38" s="161" t="e">
        <f t="shared" si="2"/>
        <v>#NUM!</v>
      </c>
      <c r="H38" s="161" t="e">
        <f>(Main!$B$18-Current_limit!G38)*Current_limit!G38/(Main!$B$18*loop_gain!$B$17*loop_gain!$B$18)</f>
        <v>#NUM!</v>
      </c>
      <c r="I38" s="161" t="e">
        <f t="shared" si="3"/>
        <v>#NUM!</v>
      </c>
      <c r="J38" s="161"/>
      <c r="K38" s="163">
        <f>IF(A38&gt;$B$15,IF(I38&gt;Helper_calcs!$B$15,23,3),0)</f>
        <v>0</v>
      </c>
      <c r="L38" s="162">
        <f t="shared" si="1"/>
        <v>0</v>
      </c>
      <c r="M38" s="162">
        <f t="shared" si="4"/>
        <v>0</v>
      </c>
      <c r="N38" s="161">
        <f t="shared" si="5"/>
        <v>0.97</v>
      </c>
      <c r="O38" s="161">
        <f t="shared" si="6"/>
        <v>5</v>
      </c>
      <c r="P38" s="149">
        <f>IF(OR(M38=0,M38=3),loop_gain!$B$18,IF(Current_limit!M38=1,Current_limit!$B$12/(2*(Current_limit!N38-Helper_calcs!$B$15)),IF(OR(M38=2,M38=23),(Main!$B$18-Current_limit!O38)*Current_limit!O38/(Main!$B$18*loop_gain!$B$17*(Helper_calcs!$B$14-Helper_calcs!$B$15)),x)))</f>
        <v>2100000</v>
      </c>
      <c r="Q38" s="161"/>
    </row>
    <row r="39" spans="1:17" x14ac:dyDescent="0.25">
      <c r="A39">
        <f t="shared" si="8"/>
        <v>0.98</v>
      </c>
      <c r="B39">
        <f>Main!$B$19/A39</f>
        <v>5.1020408163265305</v>
      </c>
      <c r="D39" s="161">
        <f t="shared" si="0"/>
        <v>5.1020408163265305</v>
      </c>
      <c r="E39" s="161">
        <f>-B39*Main!$B$18-2*Main!$B$18*loop_gain!$B$17*loop_gain!$B$18</f>
        <v>-227.54448979591837</v>
      </c>
      <c r="F39" s="161">
        <f>2*Main!$B$18*loop_gain!$B$17*loop_gain!$B$18*Helper_calcs!$B$14*Current_limit!B39</f>
        <v>3309.4285714285711</v>
      </c>
      <c r="G39" s="161" t="e">
        <f t="shared" si="2"/>
        <v>#NUM!</v>
      </c>
      <c r="H39" s="161" t="e">
        <f>(Main!$B$18-Current_limit!G39)*Current_limit!G39/(Main!$B$18*loop_gain!$B$17*loop_gain!$B$18)</f>
        <v>#NUM!</v>
      </c>
      <c r="I39" s="161" t="e">
        <f t="shared" si="3"/>
        <v>#NUM!</v>
      </c>
      <c r="J39" s="161"/>
      <c r="K39" s="163">
        <f>IF(A39&gt;$B$15,IF(I39&gt;Helper_calcs!$B$15,23,3),0)</f>
        <v>0</v>
      </c>
      <c r="L39" s="162">
        <f t="shared" si="1"/>
        <v>0</v>
      </c>
      <c r="M39" s="162">
        <f t="shared" si="4"/>
        <v>0</v>
      </c>
      <c r="N39" s="161">
        <f t="shared" si="5"/>
        <v>0.98</v>
      </c>
      <c r="O39" s="161">
        <f t="shared" si="6"/>
        <v>5</v>
      </c>
      <c r="P39" s="149">
        <f>IF(OR(M39=0,M39=3),loop_gain!$B$18,IF(Current_limit!M39=1,Current_limit!$B$12/(2*(Current_limit!N39-Helper_calcs!$B$15)),IF(OR(M39=2,M39=23),(Main!$B$18-Current_limit!O39)*Current_limit!O39/(Main!$B$18*loop_gain!$B$17*(Helper_calcs!$B$14-Helper_calcs!$B$15)),x)))</f>
        <v>2100000</v>
      </c>
      <c r="Q39" s="161"/>
    </row>
    <row r="40" spans="1:17" x14ac:dyDescent="0.25">
      <c r="A40">
        <f t="shared" si="8"/>
        <v>0.99</v>
      </c>
      <c r="B40">
        <f>Main!$B$19/A40</f>
        <v>5.0505050505050502</v>
      </c>
      <c r="D40" s="161">
        <f t="shared" si="0"/>
        <v>5.0505050505050502</v>
      </c>
      <c r="E40" s="161">
        <f>-B40*Main!$B$18-2*Main!$B$18*loop_gain!$B$17*loop_gain!$B$18</f>
        <v>-226.92606060606059</v>
      </c>
      <c r="F40" s="161">
        <f>2*Main!$B$18*loop_gain!$B$17*loop_gain!$B$18*Helper_calcs!$B$14*Current_limit!B40</f>
        <v>3275.9999999999995</v>
      </c>
      <c r="G40" s="161" t="e">
        <f t="shared" si="2"/>
        <v>#NUM!</v>
      </c>
      <c r="H40" s="161" t="e">
        <f>(Main!$B$18-Current_limit!G40)*Current_limit!G40/(Main!$B$18*loop_gain!$B$17*loop_gain!$B$18)</f>
        <v>#NUM!</v>
      </c>
      <c r="I40" s="161" t="e">
        <f t="shared" si="3"/>
        <v>#NUM!</v>
      </c>
      <c r="J40" s="161"/>
      <c r="K40" s="163">
        <f>IF(A40&gt;$B$15,IF(I40&gt;Helper_calcs!$B$15,23,3),0)</f>
        <v>0</v>
      </c>
      <c r="L40" s="162">
        <f t="shared" si="1"/>
        <v>0</v>
      </c>
      <c r="M40" s="162">
        <f t="shared" si="4"/>
        <v>0</v>
      </c>
      <c r="N40" s="161">
        <f t="shared" si="5"/>
        <v>0.99</v>
      </c>
      <c r="O40" s="161">
        <f t="shared" si="6"/>
        <v>5</v>
      </c>
      <c r="P40" s="149">
        <f>IF(OR(M40=0,M40=3),loop_gain!$B$18,IF(Current_limit!M40=1,Current_limit!$B$12/(2*(Current_limit!N40-Helper_calcs!$B$15)),IF(OR(M40=2,M40=23),(Main!$B$18-Current_limit!O40)*Current_limit!O40/(Main!$B$18*loop_gain!$B$17*(Helper_calcs!$B$14-Helper_calcs!$B$15)),x)))</f>
        <v>2100000</v>
      </c>
      <c r="Q40" s="161"/>
    </row>
    <row r="41" spans="1:17" x14ac:dyDescent="0.25">
      <c r="A41">
        <f t="shared" si="8"/>
        <v>1</v>
      </c>
      <c r="B41">
        <f>Main!$B$19/A41</f>
        <v>5</v>
      </c>
      <c r="D41" s="161">
        <f t="shared" si="0"/>
        <v>5</v>
      </c>
      <c r="E41" s="161">
        <f>-B41*Main!$B$18-2*Main!$B$18*loop_gain!$B$17*loop_gain!$B$18</f>
        <v>-226.32</v>
      </c>
      <c r="F41" s="161">
        <f>2*Main!$B$18*loop_gain!$B$17*loop_gain!$B$18*Helper_calcs!$B$14*Current_limit!B41</f>
        <v>3243.24</v>
      </c>
      <c r="G41" s="161" t="e">
        <f t="shared" si="2"/>
        <v>#NUM!</v>
      </c>
      <c r="H41" s="161" t="e">
        <f>(Main!$B$18-Current_limit!G41)*Current_limit!G41/(Main!$B$18*loop_gain!$B$17*loop_gain!$B$18)</f>
        <v>#NUM!</v>
      </c>
      <c r="I41" s="161" t="e">
        <f t="shared" si="3"/>
        <v>#NUM!</v>
      </c>
      <c r="J41" s="161"/>
      <c r="K41" s="163">
        <f>IF(A41&gt;$B$15,IF(I41&gt;Helper_calcs!$B$15,23,3),0)</f>
        <v>0</v>
      </c>
      <c r="L41" s="162">
        <f t="shared" si="1"/>
        <v>0</v>
      </c>
      <c r="M41" s="162">
        <f t="shared" si="4"/>
        <v>0</v>
      </c>
      <c r="N41" s="161">
        <f t="shared" si="5"/>
        <v>1</v>
      </c>
      <c r="O41" s="161">
        <f t="shared" si="6"/>
        <v>5</v>
      </c>
      <c r="P41" s="149">
        <f>IF(OR(M41=0,M41=3),loop_gain!$B$18,IF(Current_limit!M41=1,Current_limit!$B$12/(2*(Current_limit!N41-Helper_calcs!$B$15)),IF(OR(M41=2,M41=23),(Main!$B$18-Current_limit!O41)*Current_limit!O41/(Main!$B$18*loop_gain!$B$17*(Helper_calcs!$B$14-Helper_calcs!$B$15)),x)))</f>
        <v>2100000</v>
      </c>
      <c r="Q41" s="161"/>
    </row>
    <row r="42" spans="1:17" x14ac:dyDescent="0.25">
      <c r="A42">
        <f t="shared" si="8"/>
        <v>1.01</v>
      </c>
      <c r="B42">
        <f>Main!$B$19/A42</f>
        <v>4.9504950495049505</v>
      </c>
      <c r="D42" s="161">
        <f t="shared" si="0"/>
        <v>4.9504950495049505</v>
      </c>
      <c r="E42" s="161">
        <f>-B42*Main!$B$18-2*Main!$B$18*loop_gain!$B$17*loop_gain!$B$18</f>
        <v>-225.72594059405941</v>
      </c>
      <c r="F42" s="161">
        <f>2*Main!$B$18*loop_gain!$B$17*loop_gain!$B$18*Helper_calcs!$B$14*Current_limit!B42</f>
        <v>3211.1287128712866</v>
      </c>
      <c r="G42" s="161" t="e">
        <f t="shared" si="2"/>
        <v>#NUM!</v>
      </c>
      <c r="H42" s="161" t="e">
        <f>(Main!$B$18-Current_limit!G42)*Current_limit!G42/(Main!$B$18*loop_gain!$B$17*loop_gain!$B$18)</f>
        <v>#NUM!</v>
      </c>
      <c r="I42" s="161" t="e">
        <f t="shared" si="3"/>
        <v>#NUM!</v>
      </c>
      <c r="J42" s="161"/>
      <c r="K42" s="163">
        <f>IF(A42&gt;$B$15,IF(I42&gt;Helper_calcs!$B$15,23,3),0)</f>
        <v>0</v>
      </c>
      <c r="L42" s="162">
        <f t="shared" si="1"/>
        <v>0</v>
      </c>
      <c r="M42" s="162">
        <f t="shared" si="4"/>
        <v>0</v>
      </c>
      <c r="N42" s="161">
        <f t="shared" si="5"/>
        <v>1.01</v>
      </c>
      <c r="O42" s="161">
        <f t="shared" si="6"/>
        <v>5</v>
      </c>
      <c r="P42" s="149">
        <f>IF(OR(M42=0,M42=3),loop_gain!$B$18,IF(Current_limit!M42=1,Current_limit!$B$12/(2*(Current_limit!N42-Helper_calcs!$B$15)),IF(OR(M42=2,M42=23),(Main!$B$18-Current_limit!O42)*Current_limit!O42/(Main!$B$18*loop_gain!$B$17*(Helper_calcs!$B$14-Helper_calcs!$B$15)),x)))</f>
        <v>2100000</v>
      </c>
      <c r="Q42" s="161"/>
    </row>
    <row r="43" spans="1:17" x14ac:dyDescent="0.25">
      <c r="A43">
        <f t="shared" si="8"/>
        <v>1.02</v>
      </c>
      <c r="B43">
        <f>Main!$B$19/A43</f>
        <v>4.9019607843137258</v>
      </c>
      <c r="D43" s="161">
        <f t="shared" si="0"/>
        <v>4.9019607843137258</v>
      </c>
      <c r="E43" s="161">
        <f>-B43*Main!$B$18-2*Main!$B$18*loop_gain!$B$17*loop_gain!$B$18</f>
        <v>-225.14352941176469</v>
      </c>
      <c r="F43" s="161">
        <f>2*Main!$B$18*loop_gain!$B$17*loop_gain!$B$18*Helper_calcs!$B$14*Current_limit!B43</f>
        <v>3179.6470588235293</v>
      </c>
      <c r="G43" s="161" t="e">
        <f t="shared" si="2"/>
        <v>#NUM!</v>
      </c>
      <c r="H43" s="161" t="e">
        <f>(Main!$B$18-Current_limit!G43)*Current_limit!G43/(Main!$B$18*loop_gain!$B$17*loop_gain!$B$18)</f>
        <v>#NUM!</v>
      </c>
      <c r="I43" s="161" t="e">
        <f t="shared" si="3"/>
        <v>#NUM!</v>
      </c>
      <c r="J43" s="161"/>
      <c r="K43" s="163">
        <f>IF(A43&gt;$B$15,IF(I43&gt;Helper_calcs!$B$15,23,3),0)</f>
        <v>0</v>
      </c>
      <c r="L43" s="162">
        <f t="shared" si="1"/>
        <v>0</v>
      </c>
      <c r="M43" s="162">
        <f t="shared" si="4"/>
        <v>0</v>
      </c>
      <c r="N43" s="161">
        <f t="shared" si="5"/>
        <v>1.02</v>
      </c>
      <c r="O43" s="161">
        <f t="shared" si="6"/>
        <v>5</v>
      </c>
      <c r="P43" s="149">
        <f>IF(OR(M43=0,M43=3),loop_gain!$B$18,IF(Current_limit!M43=1,Current_limit!$B$12/(2*(Current_limit!N43-Helper_calcs!$B$15)),IF(OR(M43=2,M43=23),(Main!$B$18-Current_limit!O43)*Current_limit!O43/(Main!$B$18*loop_gain!$B$17*(Helper_calcs!$B$14-Helper_calcs!$B$15)),x)))</f>
        <v>2100000</v>
      </c>
      <c r="Q43" s="161"/>
    </row>
    <row r="44" spans="1:17" x14ac:dyDescent="0.25">
      <c r="A44">
        <f t="shared" si="8"/>
        <v>1.03</v>
      </c>
      <c r="B44">
        <f>Main!$B$19/A44</f>
        <v>4.8543689320388346</v>
      </c>
      <c r="D44" s="161">
        <f t="shared" si="0"/>
        <v>4.8543689320388346</v>
      </c>
      <c r="E44" s="161">
        <f>-B44*Main!$B$18-2*Main!$B$18*loop_gain!$B$17*loop_gain!$B$18</f>
        <v>-224.57242718446599</v>
      </c>
      <c r="F44" s="161">
        <f>2*Main!$B$18*loop_gain!$B$17*loop_gain!$B$18*Helper_calcs!$B$14*Current_limit!B44</f>
        <v>3148.7766990291257</v>
      </c>
      <c r="G44" s="161" t="e">
        <f t="shared" si="2"/>
        <v>#NUM!</v>
      </c>
      <c r="H44" s="161" t="e">
        <f>(Main!$B$18-Current_limit!G44)*Current_limit!G44/(Main!$B$18*loop_gain!$B$17*loop_gain!$B$18)</f>
        <v>#NUM!</v>
      </c>
      <c r="I44" s="161" t="e">
        <f t="shared" si="3"/>
        <v>#NUM!</v>
      </c>
      <c r="J44" s="161"/>
      <c r="K44" s="163">
        <f>IF(A44&gt;$B$15,IF(I44&gt;Helper_calcs!$B$15,23,3),0)</f>
        <v>0</v>
      </c>
      <c r="L44" s="162">
        <f t="shared" si="1"/>
        <v>0</v>
      </c>
      <c r="M44" s="162">
        <f t="shared" si="4"/>
        <v>0</v>
      </c>
      <c r="N44" s="161">
        <f t="shared" si="5"/>
        <v>1.03</v>
      </c>
      <c r="O44" s="161">
        <f t="shared" si="6"/>
        <v>5</v>
      </c>
      <c r="P44" s="149">
        <f>IF(OR(M44=0,M44=3),loop_gain!$B$18,IF(Current_limit!M44=1,Current_limit!$B$12/(2*(Current_limit!N44-Helper_calcs!$B$15)),IF(OR(M44=2,M44=23),(Main!$B$18-Current_limit!O44)*Current_limit!O44/(Main!$B$18*loop_gain!$B$17*(Helper_calcs!$B$14-Helper_calcs!$B$15)),x)))</f>
        <v>2100000</v>
      </c>
      <c r="Q44" s="161"/>
    </row>
    <row r="45" spans="1:17" x14ac:dyDescent="0.25">
      <c r="A45">
        <f t="shared" si="8"/>
        <v>1.04</v>
      </c>
      <c r="B45">
        <f>Main!$B$19/A45</f>
        <v>4.8076923076923075</v>
      </c>
      <c r="D45" s="161">
        <f t="shared" si="0"/>
        <v>4.8076923076923075</v>
      </c>
      <c r="E45" s="161">
        <f>-B45*Main!$B$18-2*Main!$B$18*loop_gain!$B$17*loop_gain!$B$18</f>
        <v>-224.01230769230767</v>
      </c>
      <c r="F45" s="161">
        <f>2*Main!$B$18*loop_gain!$B$17*loop_gain!$B$18*Helper_calcs!$B$14*Current_limit!B45</f>
        <v>3118.4999999999995</v>
      </c>
      <c r="G45" s="161" t="e">
        <f t="shared" si="2"/>
        <v>#NUM!</v>
      </c>
      <c r="H45" s="161" t="e">
        <f>(Main!$B$18-Current_limit!G45)*Current_limit!G45/(Main!$B$18*loop_gain!$B$17*loop_gain!$B$18)</f>
        <v>#NUM!</v>
      </c>
      <c r="I45" s="161" t="e">
        <f t="shared" si="3"/>
        <v>#NUM!</v>
      </c>
      <c r="J45" s="161"/>
      <c r="K45" s="163">
        <f>IF(A45&gt;$B$15,IF(I45&gt;Helper_calcs!$B$15,23,3),0)</f>
        <v>0</v>
      </c>
      <c r="L45" s="162">
        <f t="shared" si="1"/>
        <v>0</v>
      </c>
      <c r="M45" s="162">
        <f t="shared" si="4"/>
        <v>0</v>
      </c>
      <c r="N45" s="161">
        <f t="shared" si="5"/>
        <v>1.04</v>
      </c>
      <c r="O45" s="161">
        <f t="shared" si="6"/>
        <v>5</v>
      </c>
      <c r="P45" s="149">
        <f>IF(OR(M45=0,M45=3),loop_gain!$B$18,IF(Current_limit!M45=1,Current_limit!$B$12/(2*(Current_limit!N45-Helper_calcs!$B$15)),IF(OR(M45=2,M45=23),(Main!$B$18-Current_limit!O45)*Current_limit!O45/(Main!$B$18*loop_gain!$B$17*(Helper_calcs!$B$14-Helper_calcs!$B$15)),x)))</f>
        <v>2100000</v>
      </c>
      <c r="Q45" s="161"/>
    </row>
    <row r="46" spans="1:17" x14ac:dyDescent="0.25">
      <c r="A46">
        <f t="shared" si="8"/>
        <v>1.05</v>
      </c>
      <c r="B46">
        <f>Main!$B$19/A46</f>
        <v>4.7619047619047619</v>
      </c>
      <c r="D46" s="161">
        <f t="shared" si="0"/>
        <v>4.7619047619047619</v>
      </c>
      <c r="E46" s="161">
        <f>-B46*Main!$B$18-2*Main!$B$18*loop_gain!$B$17*loop_gain!$B$18</f>
        <v>-223.46285714285713</v>
      </c>
      <c r="F46" s="161">
        <f>2*Main!$B$18*loop_gain!$B$17*loop_gain!$B$18*Helper_calcs!$B$14*Current_limit!B46</f>
        <v>3088.7999999999997</v>
      </c>
      <c r="G46" s="161" t="e">
        <f t="shared" si="2"/>
        <v>#NUM!</v>
      </c>
      <c r="H46" s="161" t="e">
        <f>(Main!$B$18-Current_limit!G46)*Current_limit!G46/(Main!$B$18*loop_gain!$B$17*loop_gain!$B$18)</f>
        <v>#NUM!</v>
      </c>
      <c r="I46" s="161" t="e">
        <f t="shared" si="3"/>
        <v>#NUM!</v>
      </c>
      <c r="J46" s="161"/>
      <c r="K46" s="163">
        <f>IF(A46&gt;$B$15,IF(I46&gt;Helper_calcs!$B$15,23,3),0)</f>
        <v>0</v>
      </c>
      <c r="L46" s="162">
        <f t="shared" si="1"/>
        <v>0</v>
      </c>
      <c r="M46" s="162">
        <f t="shared" si="4"/>
        <v>0</v>
      </c>
      <c r="N46" s="161">
        <f t="shared" si="5"/>
        <v>1.05</v>
      </c>
      <c r="O46" s="161">
        <f t="shared" si="6"/>
        <v>5</v>
      </c>
      <c r="P46" s="149">
        <f>IF(OR(M46=0,M46=3),loop_gain!$B$18,IF(Current_limit!M46=1,Current_limit!$B$12/(2*(Current_limit!N46-Helper_calcs!$B$15)),IF(OR(M46=2,M46=23),(Main!$B$18-Current_limit!O46)*Current_limit!O46/(Main!$B$18*loop_gain!$B$17*(Helper_calcs!$B$14-Helper_calcs!$B$15)),x)))</f>
        <v>2100000</v>
      </c>
      <c r="Q46" s="161"/>
    </row>
    <row r="47" spans="1:17" x14ac:dyDescent="0.25">
      <c r="A47">
        <f t="shared" si="8"/>
        <v>1.06</v>
      </c>
      <c r="B47">
        <f>Main!$B$19/A47</f>
        <v>4.7169811320754711</v>
      </c>
      <c r="D47" s="161">
        <f t="shared" si="0"/>
        <v>4.7169811320754711</v>
      </c>
      <c r="E47" s="161">
        <f>-B47*Main!$B$18-2*Main!$B$18*loop_gain!$B$17*loop_gain!$B$18</f>
        <v>-222.92377358490563</v>
      </c>
      <c r="F47" s="161">
        <f>2*Main!$B$18*loop_gain!$B$17*loop_gain!$B$18*Helper_calcs!$B$14*Current_limit!B47</f>
        <v>3059.6603773584898</v>
      </c>
      <c r="G47" s="161" t="e">
        <f t="shared" si="2"/>
        <v>#NUM!</v>
      </c>
      <c r="H47" s="161" t="e">
        <f>(Main!$B$18-Current_limit!G47)*Current_limit!G47/(Main!$B$18*loop_gain!$B$17*loop_gain!$B$18)</f>
        <v>#NUM!</v>
      </c>
      <c r="I47" s="161" t="e">
        <f t="shared" si="3"/>
        <v>#NUM!</v>
      </c>
      <c r="J47" s="161"/>
      <c r="K47" s="163">
        <f>IF(A47&gt;$B$15,IF(I47&gt;Helper_calcs!$B$15,23,3),0)</f>
        <v>0</v>
      </c>
      <c r="L47" s="162">
        <f t="shared" si="1"/>
        <v>0</v>
      </c>
      <c r="M47" s="162">
        <f t="shared" si="4"/>
        <v>0</v>
      </c>
      <c r="N47" s="161">
        <f t="shared" si="5"/>
        <v>1.06</v>
      </c>
      <c r="O47" s="161">
        <f t="shared" si="6"/>
        <v>5</v>
      </c>
      <c r="P47" s="149">
        <f>IF(OR(M47=0,M47=3),loop_gain!$B$18,IF(Current_limit!M47=1,Current_limit!$B$12/(2*(Current_limit!N47-Helper_calcs!$B$15)),IF(OR(M47=2,M47=23),(Main!$B$18-Current_limit!O47)*Current_limit!O47/(Main!$B$18*loop_gain!$B$17*(Helper_calcs!$B$14-Helper_calcs!$B$15)),x)))</f>
        <v>2100000</v>
      </c>
      <c r="Q47" s="161"/>
    </row>
    <row r="48" spans="1:17" x14ac:dyDescent="0.25">
      <c r="A48">
        <f t="shared" si="8"/>
        <v>1.07</v>
      </c>
      <c r="B48">
        <f>Main!$B$19/A48</f>
        <v>4.6728971962616823</v>
      </c>
      <c r="D48" s="161">
        <f t="shared" si="0"/>
        <v>4.6728971962616823</v>
      </c>
      <c r="E48" s="161">
        <f>-B48*Main!$B$18-2*Main!$B$18*loop_gain!$B$17*loop_gain!$B$18</f>
        <v>-222.39476635514018</v>
      </c>
      <c r="F48" s="161">
        <f>2*Main!$B$18*loop_gain!$B$17*loop_gain!$B$18*Helper_calcs!$B$14*Current_limit!B48</f>
        <v>3031.0654205607475</v>
      </c>
      <c r="G48" s="161" t="e">
        <f t="shared" si="2"/>
        <v>#NUM!</v>
      </c>
      <c r="H48" s="161" t="e">
        <f>(Main!$B$18-Current_limit!G48)*Current_limit!G48/(Main!$B$18*loop_gain!$B$17*loop_gain!$B$18)</f>
        <v>#NUM!</v>
      </c>
      <c r="I48" s="161" t="e">
        <f t="shared" si="3"/>
        <v>#NUM!</v>
      </c>
      <c r="J48" s="161"/>
      <c r="K48" s="163">
        <f>IF(A48&gt;$B$15,IF(I48&gt;Helper_calcs!$B$15,23,3),0)</f>
        <v>0</v>
      </c>
      <c r="L48" s="162">
        <f t="shared" si="1"/>
        <v>0</v>
      </c>
      <c r="M48" s="162">
        <f t="shared" si="4"/>
        <v>0</v>
      </c>
      <c r="N48" s="161">
        <f t="shared" si="5"/>
        <v>1.07</v>
      </c>
      <c r="O48" s="161">
        <f t="shared" si="6"/>
        <v>5</v>
      </c>
      <c r="P48" s="149">
        <f>IF(OR(M48=0,M48=3),loop_gain!$B$18,IF(Current_limit!M48=1,Current_limit!$B$12/(2*(Current_limit!N48-Helper_calcs!$B$15)),IF(OR(M48=2,M48=23),(Main!$B$18-Current_limit!O48)*Current_limit!O48/(Main!$B$18*loop_gain!$B$17*(Helper_calcs!$B$14-Helper_calcs!$B$15)),x)))</f>
        <v>2100000</v>
      </c>
      <c r="Q48" s="161"/>
    </row>
    <row r="49" spans="1:17" x14ac:dyDescent="0.25">
      <c r="A49">
        <f t="shared" si="8"/>
        <v>1.08</v>
      </c>
      <c r="B49">
        <f>Main!$B$19/A49</f>
        <v>4.6296296296296298</v>
      </c>
      <c r="D49" s="161">
        <f t="shared" si="0"/>
        <v>4.6296296296296298</v>
      </c>
      <c r="E49" s="161">
        <f>-B49*Main!$B$18-2*Main!$B$18*loop_gain!$B$17*loop_gain!$B$18</f>
        <v>-221.87555555555554</v>
      </c>
      <c r="F49" s="161">
        <f>2*Main!$B$18*loop_gain!$B$17*loop_gain!$B$18*Helper_calcs!$B$14*Current_limit!B49</f>
        <v>3002.9999999999995</v>
      </c>
      <c r="G49" s="161" t="e">
        <f t="shared" si="2"/>
        <v>#NUM!</v>
      </c>
      <c r="H49" s="161" t="e">
        <f>(Main!$B$18-Current_limit!G49)*Current_limit!G49/(Main!$B$18*loop_gain!$B$17*loop_gain!$B$18)</f>
        <v>#NUM!</v>
      </c>
      <c r="I49" s="161" t="e">
        <f t="shared" si="3"/>
        <v>#NUM!</v>
      </c>
      <c r="J49" s="161"/>
      <c r="K49" s="163">
        <f>IF(A49&gt;$B$15,IF(I49&gt;Helper_calcs!$B$15,23,3),0)</f>
        <v>0</v>
      </c>
      <c r="L49" s="162">
        <f t="shared" si="1"/>
        <v>0</v>
      </c>
      <c r="M49" s="162">
        <f t="shared" si="4"/>
        <v>0</v>
      </c>
      <c r="N49" s="161">
        <f t="shared" si="5"/>
        <v>1.08</v>
      </c>
      <c r="O49" s="161">
        <f t="shared" si="6"/>
        <v>5.0000000000000009</v>
      </c>
      <c r="P49" s="149">
        <f>IF(OR(M49=0,M49=3),loop_gain!$B$18,IF(Current_limit!M49=1,Current_limit!$B$12/(2*(Current_limit!N49-Helper_calcs!$B$15)),IF(OR(M49=2,M49=23),(Main!$B$18-Current_limit!O49)*Current_limit!O49/(Main!$B$18*loop_gain!$B$17*(Helper_calcs!$B$14-Helper_calcs!$B$15)),x)))</f>
        <v>2100000</v>
      </c>
      <c r="Q49" s="161"/>
    </row>
    <row r="50" spans="1:17" x14ac:dyDescent="0.25">
      <c r="A50">
        <f t="shared" si="8"/>
        <v>1.0900000000000001</v>
      </c>
      <c r="B50">
        <f>Main!$B$19/A50</f>
        <v>4.5871559633027523</v>
      </c>
      <c r="D50" s="161">
        <f t="shared" si="0"/>
        <v>4.5871559633027523</v>
      </c>
      <c r="E50" s="161">
        <f>-B50*Main!$B$18-2*Main!$B$18*loop_gain!$B$17*loop_gain!$B$18</f>
        <v>-221.36587155963304</v>
      </c>
      <c r="F50" s="161">
        <f>2*Main!$B$18*loop_gain!$B$17*loop_gain!$B$18*Helper_calcs!$B$14*Current_limit!B50</f>
        <v>2975.4495412844035</v>
      </c>
      <c r="G50" s="161" t="e">
        <f t="shared" si="2"/>
        <v>#NUM!</v>
      </c>
      <c r="H50" s="161" t="e">
        <f>(Main!$B$18-Current_limit!G50)*Current_limit!G50/(Main!$B$18*loop_gain!$B$17*loop_gain!$B$18)</f>
        <v>#NUM!</v>
      </c>
      <c r="I50" s="161" t="e">
        <f t="shared" si="3"/>
        <v>#NUM!</v>
      </c>
      <c r="J50" s="161"/>
      <c r="K50" s="163">
        <f>IF(A50&gt;$B$15,IF(I50&gt;Helper_calcs!$B$15,23,3),0)</f>
        <v>0</v>
      </c>
      <c r="L50" s="162">
        <f t="shared" si="1"/>
        <v>0</v>
      </c>
      <c r="M50" s="162">
        <f t="shared" si="4"/>
        <v>0</v>
      </c>
      <c r="N50" s="161">
        <f t="shared" si="5"/>
        <v>1.0900000000000001</v>
      </c>
      <c r="O50" s="161">
        <f t="shared" si="6"/>
        <v>5</v>
      </c>
      <c r="P50" s="149">
        <f>IF(OR(M50=0,M50=3),loop_gain!$B$18,IF(Current_limit!M50=1,Current_limit!$B$12/(2*(Current_limit!N50-Helper_calcs!$B$15)),IF(OR(M50=2,M50=23),(Main!$B$18-Current_limit!O50)*Current_limit!O50/(Main!$B$18*loop_gain!$B$17*(Helper_calcs!$B$14-Helper_calcs!$B$15)),x)))</f>
        <v>2100000</v>
      </c>
      <c r="Q50" s="161"/>
    </row>
    <row r="51" spans="1:17" x14ac:dyDescent="0.25">
      <c r="A51">
        <f t="shared" si="8"/>
        <v>1.1000000000000001</v>
      </c>
      <c r="B51">
        <f>Main!$B$19/A51</f>
        <v>4.545454545454545</v>
      </c>
      <c r="D51" s="161">
        <f t="shared" si="0"/>
        <v>4.545454545454545</v>
      </c>
      <c r="E51" s="161">
        <f>-B51*Main!$B$18-2*Main!$B$18*loop_gain!$B$17*loop_gain!$B$18</f>
        <v>-220.86545454545453</v>
      </c>
      <c r="F51" s="161">
        <f>2*Main!$B$18*loop_gain!$B$17*loop_gain!$B$18*Helper_calcs!$B$14*Current_limit!B51</f>
        <v>2948.3999999999992</v>
      </c>
      <c r="G51" s="161" t="e">
        <f t="shared" si="2"/>
        <v>#NUM!</v>
      </c>
      <c r="H51" s="161" t="e">
        <f>(Main!$B$18-Current_limit!G51)*Current_limit!G51/(Main!$B$18*loop_gain!$B$17*loop_gain!$B$18)</f>
        <v>#NUM!</v>
      </c>
      <c r="I51" s="161" t="e">
        <f t="shared" si="3"/>
        <v>#NUM!</v>
      </c>
      <c r="J51" s="161"/>
      <c r="K51" s="163">
        <f>IF(A51&gt;$B$15,IF(I51&gt;Helper_calcs!$B$15,23,3),0)</f>
        <v>0</v>
      </c>
      <c r="L51" s="162">
        <f t="shared" si="1"/>
        <v>0</v>
      </c>
      <c r="M51" s="162">
        <f t="shared" si="4"/>
        <v>0</v>
      </c>
      <c r="N51" s="161">
        <f t="shared" si="5"/>
        <v>1.1000000000000001</v>
      </c>
      <c r="O51" s="161">
        <f t="shared" si="6"/>
        <v>5</v>
      </c>
      <c r="P51" s="149">
        <f>IF(OR(M51=0,M51=3),loop_gain!$B$18,IF(Current_limit!M51=1,Current_limit!$B$12/(2*(Current_limit!N51-Helper_calcs!$B$15)),IF(OR(M51=2,M51=23),(Main!$B$18-Current_limit!O51)*Current_limit!O51/(Main!$B$18*loop_gain!$B$17*(Helper_calcs!$B$14-Helper_calcs!$B$15)),x)))</f>
        <v>2100000</v>
      </c>
      <c r="Q51" s="161"/>
    </row>
    <row r="52" spans="1:17" x14ac:dyDescent="0.25">
      <c r="A52">
        <f t="shared" si="8"/>
        <v>1.1100000000000001</v>
      </c>
      <c r="B52">
        <f>Main!$B$19/A52</f>
        <v>4.5045045045045038</v>
      </c>
      <c r="D52" s="161">
        <f t="shared" si="0"/>
        <v>4.5045045045045038</v>
      </c>
      <c r="E52" s="161">
        <f>-B52*Main!$B$18-2*Main!$B$18*loop_gain!$B$17*loop_gain!$B$18</f>
        <v>-220.37405405405406</v>
      </c>
      <c r="F52" s="161">
        <f>2*Main!$B$18*loop_gain!$B$17*loop_gain!$B$18*Helper_calcs!$B$14*Current_limit!B52</f>
        <v>2921.837837837837</v>
      </c>
      <c r="G52" s="161" t="e">
        <f t="shared" si="2"/>
        <v>#NUM!</v>
      </c>
      <c r="H52" s="161" t="e">
        <f>(Main!$B$18-Current_limit!G52)*Current_limit!G52/(Main!$B$18*loop_gain!$B$17*loop_gain!$B$18)</f>
        <v>#NUM!</v>
      </c>
      <c r="I52" s="161" t="e">
        <f t="shared" si="3"/>
        <v>#NUM!</v>
      </c>
      <c r="J52" s="161"/>
      <c r="K52" s="163">
        <f>IF(A52&gt;$B$15,IF(I52&gt;Helper_calcs!$B$15,23,3),0)</f>
        <v>0</v>
      </c>
      <c r="L52" s="162">
        <f t="shared" si="1"/>
        <v>0</v>
      </c>
      <c r="M52" s="162">
        <f t="shared" si="4"/>
        <v>0</v>
      </c>
      <c r="N52" s="161">
        <f t="shared" si="5"/>
        <v>1.1100000000000001</v>
      </c>
      <c r="O52" s="161">
        <f t="shared" si="6"/>
        <v>5</v>
      </c>
      <c r="P52" s="149">
        <f>IF(OR(M52=0,M52=3),loop_gain!$B$18,IF(Current_limit!M52=1,Current_limit!$B$12/(2*(Current_limit!N52-Helper_calcs!$B$15)),IF(OR(M52=2,M52=23),(Main!$B$18-Current_limit!O52)*Current_limit!O52/(Main!$B$18*loop_gain!$B$17*(Helper_calcs!$B$14-Helper_calcs!$B$15)),x)))</f>
        <v>2100000</v>
      </c>
      <c r="Q52" s="161"/>
    </row>
    <row r="53" spans="1:17" x14ac:dyDescent="0.25">
      <c r="A53">
        <f t="shared" si="8"/>
        <v>1.1200000000000001</v>
      </c>
      <c r="B53">
        <f>Main!$B$19/A53</f>
        <v>4.4642857142857135</v>
      </c>
      <c r="D53" s="161">
        <f t="shared" si="0"/>
        <v>4.4642857142857135</v>
      </c>
      <c r="E53" s="161">
        <f>-B53*Main!$B$18-2*Main!$B$18*loop_gain!$B$17*loop_gain!$B$18</f>
        <v>-219.89142857142855</v>
      </c>
      <c r="F53" s="161">
        <f>2*Main!$B$18*loop_gain!$B$17*loop_gain!$B$18*Helper_calcs!$B$14*Current_limit!B53</f>
        <v>2895.7499999999991</v>
      </c>
      <c r="G53" s="161" t="e">
        <f t="shared" si="2"/>
        <v>#NUM!</v>
      </c>
      <c r="H53" s="161" t="e">
        <f>(Main!$B$18-Current_limit!G53)*Current_limit!G53/(Main!$B$18*loop_gain!$B$17*loop_gain!$B$18)</f>
        <v>#NUM!</v>
      </c>
      <c r="I53" s="161" t="e">
        <f t="shared" si="3"/>
        <v>#NUM!</v>
      </c>
      <c r="J53" s="161"/>
      <c r="K53" s="163">
        <f>IF(A53&gt;$B$15,IF(I53&gt;Helper_calcs!$B$15,23,3),0)</f>
        <v>0</v>
      </c>
      <c r="L53" s="162">
        <f t="shared" si="1"/>
        <v>0</v>
      </c>
      <c r="M53" s="162">
        <f t="shared" si="4"/>
        <v>0</v>
      </c>
      <c r="N53" s="161">
        <f t="shared" si="5"/>
        <v>1.1200000000000001</v>
      </c>
      <c r="O53" s="161">
        <f t="shared" si="6"/>
        <v>5</v>
      </c>
      <c r="P53" s="149">
        <f>IF(OR(M53=0,M53=3),loop_gain!$B$18,IF(Current_limit!M53=1,Current_limit!$B$12/(2*(Current_limit!N53-Helper_calcs!$B$15)),IF(OR(M53=2,M53=23),(Main!$B$18-Current_limit!O53)*Current_limit!O53/(Main!$B$18*loop_gain!$B$17*(Helper_calcs!$B$14-Helper_calcs!$B$15)),x)))</f>
        <v>2100000</v>
      </c>
      <c r="Q53" s="161"/>
    </row>
    <row r="54" spans="1:17" x14ac:dyDescent="0.25">
      <c r="A54">
        <f t="shared" si="8"/>
        <v>1.1300000000000001</v>
      </c>
      <c r="B54">
        <f>Main!$B$19/A54</f>
        <v>4.4247787610619467</v>
      </c>
      <c r="D54" s="161">
        <f t="shared" si="0"/>
        <v>4.4247787610619467</v>
      </c>
      <c r="E54" s="161">
        <f>-B54*Main!$B$18-2*Main!$B$18*loop_gain!$B$17*loop_gain!$B$18</f>
        <v>-219.41734513274335</v>
      </c>
      <c r="F54" s="161">
        <f>2*Main!$B$18*loop_gain!$B$17*loop_gain!$B$18*Helper_calcs!$B$14*Current_limit!B54</f>
        <v>2870.1238938053093</v>
      </c>
      <c r="G54" s="161" t="e">
        <f t="shared" si="2"/>
        <v>#NUM!</v>
      </c>
      <c r="H54" s="161" t="e">
        <f>(Main!$B$18-Current_limit!G54)*Current_limit!G54/(Main!$B$18*loop_gain!$B$17*loop_gain!$B$18)</f>
        <v>#NUM!</v>
      </c>
      <c r="I54" s="161" t="e">
        <f t="shared" si="3"/>
        <v>#NUM!</v>
      </c>
      <c r="J54" s="161"/>
      <c r="K54" s="163">
        <f>IF(A54&gt;$B$15,IF(I54&gt;Helper_calcs!$B$15,23,3),0)</f>
        <v>0</v>
      </c>
      <c r="L54" s="162">
        <f t="shared" si="1"/>
        <v>0</v>
      </c>
      <c r="M54" s="162">
        <f t="shared" si="4"/>
        <v>0</v>
      </c>
      <c r="N54" s="161">
        <f t="shared" si="5"/>
        <v>1.1300000000000001</v>
      </c>
      <c r="O54" s="161">
        <f t="shared" si="6"/>
        <v>5</v>
      </c>
      <c r="P54" s="149">
        <f>IF(OR(M54=0,M54=3),loop_gain!$B$18,IF(Current_limit!M54=1,Current_limit!$B$12/(2*(Current_limit!N54-Helper_calcs!$B$15)),IF(OR(M54=2,M54=23),(Main!$B$18-Current_limit!O54)*Current_limit!O54/(Main!$B$18*loop_gain!$B$17*(Helper_calcs!$B$14-Helper_calcs!$B$15)),x)))</f>
        <v>2100000</v>
      </c>
      <c r="Q54" s="161"/>
    </row>
    <row r="55" spans="1:17" x14ac:dyDescent="0.25">
      <c r="A55">
        <f t="shared" si="8"/>
        <v>1.1400000000000001</v>
      </c>
      <c r="B55">
        <f>Main!$B$19/A55</f>
        <v>4.3859649122807012</v>
      </c>
      <c r="D55" s="161">
        <f t="shared" si="0"/>
        <v>4.3859649122807012</v>
      </c>
      <c r="E55" s="161">
        <f>-B55*Main!$B$18-2*Main!$B$18*loop_gain!$B$17*loop_gain!$B$18</f>
        <v>-218.9515789473684</v>
      </c>
      <c r="F55" s="161">
        <f>2*Main!$B$18*loop_gain!$B$17*loop_gain!$B$18*Helper_calcs!$B$14*Current_limit!B55</f>
        <v>2844.947368421052</v>
      </c>
      <c r="G55" s="161" t="e">
        <f t="shared" si="2"/>
        <v>#NUM!</v>
      </c>
      <c r="H55" s="161" t="e">
        <f>(Main!$B$18-Current_limit!G55)*Current_limit!G55/(Main!$B$18*loop_gain!$B$17*loop_gain!$B$18)</f>
        <v>#NUM!</v>
      </c>
      <c r="I55" s="161" t="e">
        <f t="shared" si="3"/>
        <v>#NUM!</v>
      </c>
      <c r="J55" s="161"/>
      <c r="K55" s="163">
        <f>IF(A55&gt;$B$15,IF(I55&gt;Helper_calcs!$B$15,23,3),0)</f>
        <v>0</v>
      </c>
      <c r="L55" s="162">
        <f t="shared" si="1"/>
        <v>0</v>
      </c>
      <c r="M55" s="162">
        <f t="shared" si="4"/>
        <v>0</v>
      </c>
      <c r="N55" s="161">
        <f t="shared" si="5"/>
        <v>1.1400000000000001</v>
      </c>
      <c r="O55" s="161">
        <f t="shared" si="6"/>
        <v>5</v>
      </c>
      <c r="P55" s="149">
        <f>IF(OR(M55=0,M55=3),loop_gain!$B$18,IF(Current_limit!M55=1,Current_limit!$B$12/(2*(Current_limit!N55-Helper_calcs!$B$15)),IF(OR(M55=2,M55=23),(Main!$B$18-Current_limit!O55)*Current_limit!O55/(Main!$B$18*loop_gain!$B$17*(Helper_calcs!$B$14-Helper_calcs!$B$15)),x)))</f>
        <v>2100000</v>
      </c>
      <c r="Q55" s="161"/>
    </row>
    <row r="56" spans="1:17" x14ac:dyDescent="0.25">
      <c r="A56">
        <f t="shared" si="8"/>
        <v>1.1500000000000001</v>
      </c>
      <c r="B56">
        <f>Main!$B$19/A56</f>
        <v>4.3478260869565215</v>
      </c>
      <c r="D56" s="161">
        <f t="shared" si="0"/>
        <v>4.3478260869565215</v>
      </c>
      <c r="E56" s="161">
        <f>-B56*Main!$B$18-2*Main!$B$18*loop_gain!$B$17*loop_gain!$B$18</f>
        <v>-218.49391304347824</v>
      </c>
      <c r="F56" s="161">
        <f>2*Main!$B$18*loop_gain!$B$17*loop_gain!$B$18*Helper_calcs!$B$14*Current_limit!B56</f>
        <v>2820.2086956521734</v>
      </c>
      <c r="G56" s="161" t="e">
        <f t="shared" si="2"/>
        <v>#NUM!</v>
      </c>
      <c r="H56" s="161" t="e">
        <f>(Main!$B$18-Current_limit!G56)*Current_limit!G56/(Main!$B$18*loop_gain!$B$17*loop_gain!$B$18)</f>
        <v>#NUM!</v>
      </c>
      <c r="I56" s="161" t="e">
        <f t="shared" si="3"/>
        <v>#NUM!</v>
      </c>
      <c r="J56" s="161"/>
      <c r="K56" s="163">
        <f>IF(A56&gt;$B$15,IF(I56&gt;Helper_calcs!$B$15,23,3),0)</f>
        <v>0</v>
      </c>
      <c r="L56" s="162">
        <f t="shared" si="1"/>
        <v>0</v>
      </c>
      <c r="M56" s="162">
        <f t="shared" si="4"/>
        <v>0</v>
      </c>
      <c r="N56" s="161">
        <f t="shared" si="5"/>
        <v>1.1500000000000001</v>
      </c>
      <c r="O56" s="161">
        <f t="shared" si="6"/>
        <v>5</v>
      </c>
      <c r="P56" s="149">
        <f>IF(OR(M56=0,M56=3),loop_gain!$B$18,IF(Current_limit!M56=1,Current_limit!$B$12/(2*(Current_limit!N56-Helper_calcs!$B$15)),IF(OR(M56=2,M56=23),(Main!$B$18-Current_limit!O56)*Current_limit!O56/(Main!$B$18*loop_gain!$B$17*(Helper_calcs!$B$14-Helper_calcs!$B$15)),x)))</f>
        <v>2100000</v>
      </c>
      <c r="Q56" s="161"/>
    </row>
    <row r="57" spans="1:17" x14ac:dyDescent="0.25">
      <c r="A57">
        <f t="shared" si="8"/>
        <v>1.1600000000000001</v>
      </c>
      <c r="B57">
        <f>Main!$B$19/A57</f>
        <v>4.3103448275862064</v>
      </c>
      <c r="D57" s="161">
        <f t="shared" si="0"/>
        <v>4.3103448275862064</v>
      </c>
      <c r="E57" s="161">
        <f>-B57*Main!$B$18-2*Main!$B$18*loop_gain!$B$17*loop_gain!$B$18</f>
        <v>-218.04413793103447</v>
      </c>
      <c r="F57" s="161">
        <f>2*Main!$B$18*loop_gain!$B$17*loop_gain!$B$18*Helper_calcs!$B$14*Current_limit!B57</f>
        <v>2795.8965517241372</v>
      </c>
      <c r="G57" s="161" t="e">
        <f t="shared" si="2"/>
        <v>#NUM!</v>
      </c>
      <c r="H57" s="161" t="e">
        <f>(Main!$B$18-Current_limit!G57)*Current_limit!G57/(Main!$B$18*loop_gain!$B$17*loop_gain!$B$18)</f>
        <v>#NUM!</v>
      </c>
      <c r="I57" s="161" t="e">
        <f t="shared" si="3"/>
        <v>#NUM!</v>
      </c>
      <c r="J57" s="161"/>
      <c r="K57" s="163">
        <f>IF(A57&gt;$B$15,IF(I57&gt;Helper_calcs!$B$15,23,3),0)</f>
        <v>0</v>
      </c>
      <c r="L57" s="162">
        <f t="shared" si="1"/>
        <v>0</v>
      </c>
      <c r="M57" s="162">
        <f t="shared" si="4"/>
        <v>0</v>
      </c>
      <c r="N57" s="161">
        <f t="shared" si="5"/>
        <v>1.1600000000000001</v>
      </c>
      <c r="O57" s="161">
        <f t="shared" si="6"/>
        <v>5</v>
      </c>
      <c r="P57" s="149">
        <f>IF(OR(M57=0,M57=3),loop_gain!$B$18,IF(Current_limit!M57=1,Current_limit!$B$12/(2*(Current_limit!N57-Helper_calcs!$B$15)),IF(OR(M57=2,M57=23),(Main!$B$18-Current_limit!O57)*Current_limit!O57/(Main!$B$18*loop_gain!$B$17*(Helper_calcs!$B$14-Helper_calcs!$B$15)),x)))</f>
        <v>2100000</v>
      </c>
      <c r="Q57" s="161"/>
    </row>
    <row r="58" spans="1:17" x14ac:dyDescent="0.25">
      <c r="A58">
        <f t="shared" si="8"/>
        <v>1.1700000000000002</v>
      </c>
      <c r="B58">
        <f>Main!$B$19/A58</f>
        <v>4.2735042735042725</v>
      </c>
      <c r="D58" s="161">
        <f t="shared" si="0"/>
        <v>4.2735042735042725</v>
      </c>
      <c r="E58" s="161">
        <f>-B58*Main!$B$18-2*Main!$B$18*loop_gain!$B$17*loop_gain!$B$18</f>
        <v>-217.60205128205126</v>
      </c>
      <c r="F58" s="161">
        <f>2*Main!$B$18*loop_gain!$B$17*loop_gain!$B$18*Helper_calcs!$B$14*Current_limit!B58</f>
        <v>2771.9999999999991</v>
      </c>
      <c r="G58" s="161" t="e">
        <f t="shared" si="2"/>
        <v>#NUM!</v>
      </c>
      <c r="H58" s="161" t="e">
        <f>(Main!$B$18-Current_limit!G58)*Current_limit!G58/(Main!$B$18*loop_gain!$B$17*loop_gain!$B$18)</f>
        <v>#NUM!</v>
      </c>
      <c r="I58" s="161" t="e">
        <f t="shared" si="3"/>
        <v>#NUM!</v>
      </c>
      <c r="J58" s="161"/>
      <c r="K58" s="163">
        <f>IF(A58&gt;$B$15,IF(I58&gt;Helper_calcs!$B$15,23,3),0)</f>
        <v>0</v>
      </c>
      <c r="L58" s="162">
        <f t="shared" si="1"/>
        <v>0</v>
      </c>
      <c r="M58" s="162">
        <f t="shared" si="4"/>
        <v>0</v>
      </c>
      <c r="N58" s="161">
        <f t="shared" si="5"/>
        <v>1.1700000000000002</v>
      </c>
      <c r="O58" s="161">
        <f t="shared" si="6"/>
        <v>4.9999999999999991</v>
      </c>
      <c r="P58" s="149">
        <f>IF(OR(M58=0,M58=3),loop_gain!$B$18,IF(Current_limit!M58=1,Current_limit!$B$12/(2*(Current_limit!N58-Helper_calcs!$B$15)),IF(OR(M58=2,M58=23),(Main!$B$18-Current_limit!O58)*Current_limit!O58/(Main!$B$18*loop_gain!$B$17*(Helper_calcs!$B$14-Helper_calcs!$B$15)),x)))</f>
        <v>2100000</v>
      </c>
      <c r="Q58" s="161"/>
    </row>
    <row r="59" spans="1:17" x14ac:dyDescent="0.25">
      <c r="A59">
        <f t="shared" si="8"/>
        <v>1.1800000000000002</v>
      </c>
      <c r="B59">
        <f>Main!$B$19/A59</f>
        <v>4.2372881355932197</v>
      </c>
      <c r="D59" s="161">
        <f t="shared" si="0"/>
        <v>4.2372881355932197</v>
      </c>
      <c r="E59" s="161">
        <f>-B59*Main!$B$18-2*Main!$B$18*loop_gain!$B$17*loop_gain!$B$18</f>
        <v>-217.16745762711864</v>
      </c>
      <c r="F59" s="161">
        <f>2*Main!$B$18*loop_gain!$B$17*loop_gain!$B$18*Helper_calcs!$B$14*Current_limit!B59</f>
        <v>2748.5084745762706</v>
      </c>
      <c r="G59" s="161">
        <f t="shared" si="2"/>
        <v>22.7917565459442</v>
      </c>
      <c r="H59" s="161">
        <f>(Main!$B$18-Current_limit!G59)*Current_limit!G59/(Main!$B$18*loop_gain!$B$17*loop_gain!$B$18)</f>
        <v>-2.957709089685665</v>
      </c>
      <c r="I59" s="161">
        <f t="shared" si="3"/>
        <v>6.8577090896856641</v>
      </c>
      <c r="J59" s="161"/>
      <c r="K59" s="163">
        <f>IF(A59&gt;$B$15,IF(I59&gt;Helper_calcs!$B$15,23,3),0)</f>
        <v>0</v>
      </c>
      <c r="L59" s="162">
        <f t="shared" si="1"/>
        <v>0</v>
      </c>
      <c r="M59" s="162">
        <f t="shared" si="4"/>
        <v>0</v>
      </c>
      <c r="N59" s="161">
        <f t="shared" si="5"/>
        <v>1.1800000000000002</v>
      </c>
      <c r="O59" s="161">
        <f t="shared" si="6"/>
        <v>5</v>
      </c>
      <c r="P59" s="149">
        <f>IF(OR(M59=0,M59=3),loop_gain!$B$18,IF(Current_limit!M59=1,Current_limit!$B$12/(2*(Current_limit!N59-Helper_calcs!$B$15)),IF(OR(M59=2,M59=23),(Main!$B$18-Current_limit!O59)*Current_limit!O59/(Main!$B$18*loop_gain!$B$17*(Helper_calcs!$B$14-Helper_calcs!$B$15)),x)))</f>
        <v>2100000</v>
      </c>
      <c r="Q59" s="161"/>
    </row>
    <row r="60" spans="1:17" x14ac:dyDescent="0.25">
      <c r="A60">
        <f t="shared" si="8"/>
        <v>1.1900000000000002</v>
      </c>
      <c r="B60">
        <f>Main!$B$19/A60</f>
        <v>4.2016806722689068</v>
      </c>
      <c r="D60" s="161">
        <f t="shared" si="0"/>
        <v>4.2016806722689068</v>
      </c>
      <c r="E60" s="161">
        <f>-B60*Main!$B$18-2*Main!$B$18*loop_gain!$B$17*loop_gain!$B$18</f>
        <v>-216.74016806722688</v>
      </c>
      <c r="F60" s="161">
        <f>2*Main!$B$18*loop_gain!$B$17*loop_gain!$B$18*Helper_calcs!$B$14*Current_limit!B60</f>
        <v>2725.4117647058815</v>
      </c>
      <c r="G60" s="161">
        <f t="shared" si="2"/>
        <v>21.719809045556993</v>
      </c>
      <c r="H60" s="161">
        <f>(Main!$B$18-Current_limit!G60)*Current_limit!G60/(Main!$B$18*loop_gain!$B$17*loop_gain!$B$18)</f>
        <v>-2.5386291056851307</v>
      </c>
      <c r="I60" s="161">
        <f t="shared" si="3"/>
        <v>6.4386291056851306</v>
      </c>
      <c r="J60" s="161"/>
      <c r="K60" s="163">
        <f>IF(A60&gt;$B$15,IF(I60&gt;Helper_calcs!$B$15,23,3),0)</f>
        <v>0</v>
      </c>
      <c r="L60" s="162">
        <f t="shared" si="1"/>
        <v>0</v>
      </c>
      <c r="M60" s="162">
        <f t="shared" si="4"/>
        <v>0</v>
      </c>
      <c r="N60" s="161">
        <f t="shared" si="5"/>
        <v>1.1900000000000002</v>
      </c>
      <c r="O60" s="161">
        <f t="shared" si="6"/>
        <v>5</v>
      </c>
      <c r="P60" s="149">
        <f>IF(OR(M60=0,M60=3),loop_gain!$B$18,IF(Current_limit!M60=1,Current_limit!$B$12/(2*(Current_limit!N60-Helper_calcs!$B$15)),IF(OR(M60=2,M60=23),(Main!$B$18-Current_limit!O60)*Current_limit!O60/(Main!$B$18*loop_gain!$B$17*(Helper_calcs!$B$14-Helper_calcs!$B$15)),x)))</f>
        <v>2100000</v>
      </c>
      <c r="Q60" s="161"/>
    </row>
    <row r="61" spans="1:17" x14ac:dyDescent="0.25">
      <c r="A61">
        <f t="shared" si="8"/>
        <v>1.2000000000000002</v>
      </c>
      <c r="B61">
        <f>Main!$B$19/A61</f>
        <v>4.1666666666666661</v>
      </c>
      <c r="D61" s="161">
        <f t="shared" si="0"/>
        <v>4.1666666666666661</v>
      </c>
      <c r="E61" s="161">
        <f>-B61*Main!$B$18-2*Main!$B$18*loop_gain!$B$17*loop_gain!$B$18</f>
        <v>-216.32</v>
      </c>
      <c r="F61" s="161">
        <f>2*Main!$B$18*loop_gain!$B$17*loop_gain!$B$18*Helper_calcs!$B$14*Current_limit!B61</f>
        <v>2702.6999999999994</v>
      </c>
      <c r="G61" s="161">
        <f t="shared" si="2"/>
        <v>20.939383108217299</v>
      </c>
      <c r="H61" s="161">
        <f>(Main!$B$18-Current_limit!G61)*Current_limit!G61/(Main!$B$18*loop_gain!$B$17*loop_gain!$B$18)</f>
        <v>-2.2509038919443047</v>
      </c>
      <c r="I61" s="161">
        <f t="shared" si="3"/>
        <v>6.1509038919443046</v>
      </c>
      <c r="J61" s="161"/>
      <c r="K61" s="163">
        <f>IF(A61&gt;$B$15,IF(I61&gt;Helper_calcs!$B$15,23,3),0)</f>
        <v>0</v>
      </c>
      <c r="L61" s="162">
        <f t="shared" si="1"/>
        <v>0</v>
      </c>
      <c r="M61" s="162">
        <f t="shared" si="4"/>
        <v>0</v>
      </c>
      <c r="N61" s="161">
        <f t="shared" si="5"/>
        <v>1.2000000000000002</v>
      </c>
      <c r="O61" s="161">
        <f t="shared" si="6"/>
        <v>5</v>
      </c>
      <c r="P61" s="149">
        <f>IF(OR(M61=0,M61=3),loop_gain!$B$18,IF(Current_limit!M61=1,Current_limit!$B$12/(2*(Current_limit!N61-Helper_calcs!$B$15)),IF(OR(M61=2,M61=23),(Main!$B$18-Current_limit!O61)*Current_limit!O61/(Main!$B$18*loop_gain!$B$17*(Helper_calcs!$B$14-Helper_calcs!$B$15)),x)))</f>
        <v>2100000</v>
      </c>
      <c r="Q61" s="161"/>
    </row>
    <row r="62" spans="1:17" x14ac:dyDescent="0.25">
      <c r="A62">
        <f t="shared" si="8"/>
        <v>1.2100000000000002</v>
      </c>
      <c r="B62">
        <f>Main!$B$19/A62</f>
        <v>4.1322314049586772</v>
      </c>
      <c r="D62" s="161">
        <f t="shared" si="0"/>
        <v>4.1322314049586772</v>
      </c>
      <c r="E62" s="161">
        <f>-B62*Main!$B$18-2*Main!$B$18*loop_gain!$B$17*loop_gain!$B$18</f>
        <v>-215.90677685950413</v>
      </c>
      <c r="F62" s="161">
        <f>2*Main!$B$18*loop_gain!$B$17*loop_gain!$B$18*Helper_calcs!$B$14*Current_limit!B62</f>
        <v>2680.3636363636356</v>
      </c>
      <c r="G62" s="161">
        <f t="shared" si="2"/>
        <v>20.306387328314734</v>
      </c>
      <c r="H62" s="161">
        <f>(Main!$B$18-Current_limit!G62)*Current_limit!G62/(Main!$B$18*loop_gain!$B$17*loop_gain!$B$18)</f>
        <v>-2.0282914669043342</v>
      </c>
      <c r="I62" s="161">
        <f t="shared" si="3"/>
        <v>5.9282914669043336</v>
      </c>
      <c r="J62" s="161"/>
      <c r="K62" s="163">
        <f>IF(A62&gt;$B$15,IF(I62&gt;Helper_calcs!$B$15,23,3),0)</f>
        <v>0</v>
      </c>
      <c r="L62" s="162">
        <f t="shared" si="1"/>
        <v>0</v>
      </c>
      <c r="M62" s="162">
        <f t="shared" si="4"/>
        <v>0</v>
      </c>
      <c r="N62" s="161">
        <f t="shared" si="5"/>
        <v>1.2100000000000002</v>
      </c>
      <c r="O62" s="161">
        <f t="shared" si="6"/>
        <v>5</v>
      </c>
      <c r="P62" s="149">
        <f>IF(OR(M62=0,M62=3),loop_gain!$B$18,IF(Current_limit!M62=1,Current_limit!$B$12/(2*(Current_limit!N62-Helper_calcs!$B$15)),IF(OR(M62=2,M62=23),(Main!$B$18-Current_limit!O62)*Current_limit!O62/(Main!$B$18*loop_gain!$B$17*(Helper_calcs!$B$14-Helper_calcs!$B$15)),x)))</f>
        <v>2100000</v>
      </c>
      <c r="Q62" s="161"/>
    </row>
    <row r="63" spans="1:17" x14ac:dyDescent="0.25">
      <c r="A63">
        <f t="shared" si="8"/>
        <v>1.2200000000000002</v>
      </c>
      <c r="B63">
        <f>Main!$B$19/A63</f>
        <v>4.0983606557377046</v>
      </c>
      <c r="D63" s="161">
        <f t="shared" si="0"/>
        <v>4.0983606557377046</v>
      </c>
      <c r="E63" s="161">
        <f>-B63*Main!$B$18-2*Main!$B$18*loop_gain!$B$17*loop_gain!$B$18</f>
        <v>-215.50032786885245</v>
      </c>
      <c r="F63" s="161">
        <f>2*Main!$B$18*loop_gain!$B$17*loop_gain!$B$18*Helper_calcs!$B$14*Current_limit!B63</f>
        <v>2658.3934426229503</v>
      </c>
      <c r="G63" s="161">
        <f t="shared" si="2"/>
        <v>19.766410946820031</v>
      </c>
      <c r="H63" s="161">
        <f>(Main!$B$18-Current_limit!G63)*Current_limit!G63/(Main!$B$18*loop_gain!$B$17*loop_gain!$B$18)</f>
        <v>-1.8460085420481771</v>
      </c>
      <c r="I63" s="161">
        <f t="shared" si="3"/>
        <v>5.7460085420481759</v>
      </c>
      <c r="J63" s="161"/>
      <c r="K63" s="163">
        <f>IF(A63&gt;$B$15,IF(I63&gt;Helper_calcs!$B$15,23,3),0)</f>
        <v>0</v>
      </c>
      <c r="L63" s="162">
        <f t="shared" si="1"/>
        <v>0</v>
      </c>
      <c r="M63" s="162">
        <f t="shared" si="4"/>
        <v>0</v>
      </c>
      <c r="N63" s="161">
        <f t="shared" si="5"/>
        <v>1.2200000000000002</v>
      </c>
      <c r="O63" s="161">
        <f t="shared" si="6"/>
        <v>5</v>
      </c>
      <c r="P63" s="149">
        <f>IF(OR(M63=0,M63=3),loop_gain!$B$18,IF(Current_limit!M63=1,Current_limit!$B$12/(2*(Current_limit!N63-Helper_calcs!$B$15)),IF(OR(M63=2,M63=23),(Main!$B$18-Current_limit!O63)*Current_limit!O63/(Main!$B$18*loop_gain!$B$17*(Helper_calcs!$B$14-Helper_calcs!$B$15)),x)))</f>
        <v>2100000</v>
      </c>
      <c r="Q63" s="161"/>
    </row>
    <row r="64" spans="1:17" x14ac:dyDescent="0.25">
      <c r="A64">
        <f t="shared" si="8"/>
        <v>1.2300000000000002</v>
      </c>
      <c r="B64">
        <f>Main!$B$19/A64</f>
        <v>4.0650406504065035</v>
      </c>
      <c r="D64" s="161">
        <f t="shared" si="0"/>
        <v>4.0650406504065035</v>
      </c>
      <c r="E64" s="161">
        <f>-B64*Main!$B$18-2*Main!$B$18*loop_gain!$B$17*loop_gain!$B$18</f>
        <v>-215.10048780487804</v>
      </c>
      <c r="F64" s="161">
        <f>2*Main!$B$18*loop_gain!$B$17*loop_gain!$B$18*Helper_calcs!$B$14*Current_limit!B64</f>
        <v>2636.7804878048773</v>
      </c>
      <c r="G64" s="161">
        <f t="shared" si="2"/>
        <v>19.291894336862661</v>
      </c>
      <c r="H64" s="161">
        <f>(Main!$B$18-Current_limit!G64)*Current_limit!G64/(Main!$B$18*loop_gain!$B$17*loop_gain!$B$18)</f>
        <v>-1.6916120137364323</v>
      </c>
      <c r="I64" s="161">
        <f t="shared" si="3"/>
        <v>5.5916120137364311</v>
      </c>
      <c r="J64" s="161"/>
      <c r="K64" s="163">
        <f>IF(A64&gt;$B$15,IF(I64&gt;Helper_calcs!$B$15,23,3),0)</f>
        <v>0</v>
      </c>
      <c r="L64" s="162">
        <f t="shared" si="1"/>
        <v>0</v>
      </c>
      <c r="M64" s="162">
        <f t="shared" si="4"/>
        <v>0</v>
      </c>
      <c r="N64" s="161">
        <f t="shared" si="5"/>
        <v>1.2300000000000002</v>
      </c>
      <c r="O64" s="161">
        <f t="shared" si="6"/>
        <v>5</v>
      </c>
      <c r="P64" s="149">
        <f>IF(OR(M64=0,M64=3),loop_gain!$B$18,IF(Current_limit!M64=1,Current_limit!$B$12/(2*(Current_limit!N64-Helper_calcs!$B$15)),IF(OR(M64=2,M64=23),(Main!$B$18-Current_limit!O64)*Current_limit!O64/(Main!$B$18*loop_gain!$B$17*(Helper_calcs!$B$14-Helper_calcs!$B$15)),x)))</f>
        <v>2100000</v>
      </c>
      <c r="Q64" s="161"/>
    </row>
    <row r="65" spans="1:17" x14ac:dyDescent="0.25">
      <c r="A65">
        <f t="shared" si="8"/>
        <v>1.2400000000000002</v>
      </c>
      <c r="B65">
        <f>Main!$B$19/A65</f>
        <v>4.0322580645161281</v>
      </c>
      <c r="D65" s="161">
        <f t="shared" si="0"/>
        <v>4.0322580645161281</v>
      </c>
      <c r="E65" s="161">
        <f>-B65*Main!$B$18-2*Main!$B$18*loop_gain!$B$17*loop_gain!$B$18</f>
        <v>-214.70709677419353</v>
      </c>
      <c r="F65" s="161">
        <f>2*Main!$B$18*loop_gain!$B$17*loop_gain!$B$18*Helper_calcs!$B$14*Current_limit!B65</f>
        <v>2615.5161290322571</v>
      </c>
      <c r="G65" s="161">
        <f t="shared" si="2"/>
        <v>18.866596995261666</v>
      </c>
      <c r="H65" s="161">
        <f>(Main!$B$18-Current_limit!G65)*Current_limit!G65/(Main!$B$18*loop_gain!$B$17*loop_gain!$B$18)</f>
        <v>-1.55783210964979</v>
      </c>
      <c r="I65" s="161">
        <f t="shared" si="3"/>
        <v>5.4578321096497895</v>
      </c>
      <c r="J65" s="161"/>
      <c r="K65" s="163">
        <f>IF(A65&gt;$B$15,IF(I65&gt;Helper_calcs!$B$15,23,3),0)</f>
        <v>0</v>
      </c>
      <c r="L65" s="162">
        <f t="shared" si="1"/>
        <v>0</v>
      </c>
      <c r="M65" s="162">
        <f t="shared" si="4"/>
        <v>0</v>
      </c>
      <c r="N65" s="161">
        <f t="shared" si="5"/>
        <v>1.2400000000000002</v>
      </c>
      <c r="O65" s="161">
        <f t="shared" si="6"/>
        <v>5</v>
      </c>
      <c r="P65" s="149">
        <f>IF(OR(M65=0,M65=3),loop_gain!$B$18,IF(Current_limit!M65=1,Current_limit!$B$12/(2*(Current_limit!N65-Helper_calcs!$B$15)),IF(OR(M65=2,M65=23),(Main!$B$18-Current_limit!O65)*Current_limit!O65/(Main!$B$18*loop_gain!$B$17*(Helper_calcs!$B$14-Helper_calcs!$B$15)),x)))</f>
        <v>2100000</v>
      </c>
      <c r="Q65" s="161"/>
    </row>
    <row r="66" spans="1:17" x14ac:dyDescent="0.25">
      <c r="A66">
        <f t="shared" si="8"/>
        <v>1.2500000000000002</v>
      </c>
      <c r="B66">
        <f>Main!$B$19/A66</f>
        <v>3.9999999999999991</v>
      </c>
      <c r="D66" s="161">
        <f t="shared" si="0"/>
        <v>3.9999999999999991</v>
      </c>
      <c r="E66" s="161">
        <f>-B66*Main!$B$18-2*Main!$B$18*loop_gain!$B$17*loop_gain!$B$18</f>
        <v>-214.32</v>
      </c>
      <c r="F66" s="161">
        <f>2*Main!$B$18*loop_gain!$B$17*loop_gain!$B$18*Helper_calcs!$B$14*Current_limit!B66</f>
        <v>2594.5919999999992</v>
      </c>
      <c r="G66" s="161">
        <f t="shared" si="2"/>
        <v>18.479999999999986</v>
      </c>
      <c r="H66" s="161">
        <f>(Main!$B$18-Current_limit!G66)*Current_limit!G66/(Main!$B$18*loop_gain!$B$17*loop_gain!$B$18)</f>
        <v>-1.4399999999999959</v>
      </c>
      <c r="I66" s="161">
        <f t="shared" si="3"/>
        <v>5.3399999999999954</v>
      </c>
      <c r="J66" s="161"/>
      <c r="K66" s="163">
        <f>IF(A66&gt;$B$15,IF(I66&gt;Helper_calcs!$B$15,23,3),0)</f>
        <v>0</v>
      </c>
      <c r="L66" s="162">
        <f t="shared" si="1"/>
        <v>0</v>
      </c>
      <c r="M66" s="162">
        <f t="shared" si="4"/>
        <v>0</v>
      </c>
      <c r="N66" s="161">
        <f t="shared" si="5"/>
        <v>1.2500000000000002</v>
      </c>
      <c r="O66" s="161">
        <f t="shared" si="6"/>
        <v>5</v>
      </c>
      <c r="P66" s="149">
        <f>IF(OR(M66=0,M66=3),loop_gain!$B$18,IF(Current_limit!M66=1,Current_limit!$B$12/(2*(Current_limit!N66-Helper_calcs!$B$15)),IF(OR(M66=2,M66=23),(Main!$B$18-Current_limit!O66)*Current_limit!O66/(Main!$B$18*loop_gain!$B$17*(Helper_calcs!$B$14-Helper_calcs!$B$15)),x)))</f>
        <v>2100000</v>
      </c>
      <c r="Q66" s="161"/>
    </row>
    <row r="67" spans="1:17" x14ac:dyDescent="0.25">
      <c r="A67">
        <f t="shared" si="8"/>
        <v>1.2600000000000002</v>
      </c>
      <c r="B67">
        <f>Main!$B$19/A67</f>
        <v>3.9682539682539675</v>
      </c>
      <c r="D67" s="161">
        <f t="shared" si="0"/>
        <v>3.9682539682539675</v>
      </c>
      <c r="E67" s="161">
        <f>-B67*Main!$B$18-2*Main!$B$18*loop_gain!$B$17*loop_gain!$B$18</f>
        <v>-213.93904761904759</v>
      </c>
      <c r="F67" s="161">
        <f>2*Main!$B$18*loop_gain!$B$17*loop_gain!$B$18*Helper_calcs!$B$14*Current_limit!B67</f>
        <v>2573.9999999999991</v>
      </c>
      <c r="G67" s="161">
        <f t="shared" si="2"/>
        <v>18.124831566989389</v>
      </c>
      <c r="H67" s="161">
        <f>(Main!$B$18-Current_limit!G67)*Current_limit!G67/(Main!$B$18*loop_gain!$B$17*loop_gain!$B$18)</f>
        <v>-1.3349151097626548</v>
      </c>
      <c r="I67" s="161">
        <f t="shared" si="3"/>
        <v>5.2349151097626541</v>
      </c>
      <c r="J67" s="161"/>
      <c r="K67" s="163">
        <f>IF(A67&gt;$B$15,IF(I67&gt;Helper_calcs!$B$15,23,3),0)</f>
        <v>0</v>
      </c>
      <c r="L67" s="162">
        <f t="shared" si="1"/>
        <v>0</v>
      </c>
      <c r="M67" s="162">
        <f t="shared" si="4"/>
        <v>0</v>
      </c>
      <c r="N67" s="161">
        <f t="shared" si="5"/>
        <v>1.2600000000000002</v>
      </c>
      <c r="O67" s="161">
        <f t="shared" si="6"/>
        <v>5</v>
      </c>
      <c r="P67" s="149">
        <f>IF(OR(M67=0,M67=3),loop_gain!$B$18,IF(Current_limit!M67=1,Current_limit!$B$12/(2*(Current_limit!N67-Helper_calcs!$B$15)),IF(OR(M67=2,M67=23),(Main!$B$18-Current_limit!O67)*Current_limit!O67/(Main!$B$18*loop_gain!$B$17*(Helper_calcs!$B$14-Helper_calcs!$B$15)),x)))</f>
        <v>2100000</v>
      </c>
      <c r="Q67" s="161"/>
    </row>
    <row r="68" spans="1:17" x14ac:dyDescent="0.25">
      <c r="A68">
        <f t="shared" si="8"/>
        <v>1.2700000000000002</v>
      </c>
      <c r="B68">
        <f>Main!$B$19/A68</f>
        <v>3.9370078740157473</v>
      </c>
      <c r="D68" s="161">
        <f t="shared" si="0"/>
        <v>3.9370078740157473</v>
      </c>
      <c r="E68" s="161">
        <f>-B68*Main!$B$18-2*Main!$B$18*loop_gain!$B$17*loop_gain!$B$18</f>
        <v>-213.56409448818897</v>
      </c>
      <c r="F68" s="161">
        <f>2*Main!$B$18*loop_gain!$B$17*loop_gain!$B$18*Helper_calcs!$B$14*Current_limit!B68</f>
        <v>2553.7322834645661</v>
      </c>
      <c r="G68" s="161">
        <f t="shared" si="2"/>
        <v>17.795818431555563</v>
      </c>
      <c r="H68" s="161">
        <f>(Main!$B$18-Current_limit!G68)*Current_limit!G68/(Main!$B$18*loop_gain!$B$17*loop_gain!$B$18)</f>
        <v>-1.2402757632302304</v>
      </c>
      <c r="I68" s="161">
        <f t="shared" si="3"/>
        <v>5.1402757632302292</v>
      </c>
      <c r="J68" s="161"/>
      <c r="K68" s="163">
        <f>IF(A68&gt;$B$15,IF(I68&gt;Helper_calcs!$B$15,23,3),0)</f>
        <v>0</v>
      </c>
      <c r="L68" s="162">
        <f t="shared" si="1"/>
        <v>0</v>
      </c>
      <c r="M68" s="162">
        <f t="shared" si="4"/>
        <v>0</v>
      </c>
      <c r="N68" s="161">
        <f t="shared" si="5"/>
        <v>1.2700000000000002</v>
      </c>
      <c r="O68" s="161">
        <f t="shared" si="6"/>
        <v>5</v>
      </c>
      <c r="P68" s="149">
        <f>IF(OR(M68=0,M68=3),loop_gain!$B$18,IF(Current_limit!M68=1,Current_limit!$B$12/(2*(Current_limit!N68-Helper_calcs!$B$15)),IF(OR(M68=2,M68=23),(Main!$B$18-Current_limit!O68)*Current_limit!O68/(Main!$B$18*loop_gain!$B$17*(Helper_calcs!$B$14-Helper_calcs!$B$15)),x)))</f>
        <v>2100000</v>
      </c>
      <c r="Q68" s="161"/>
    </row>
    <row r="69" spans="1:17" x14ac:dyDescent="0.25">
      <c r="A69">
        <f t="shared" si="8"/>
        <v>1.2800000000000002</v>
      </c>
      <c r="B69">
        <f>Main!$B$19/A69</f>
        <v>3.9062499999999991</v>
      </c>
      <c r="D69" s="161">
        <f t="shared" si="0"/>
        <v>3.9062499999999991</v>
      </c>
      <c r="E69" s="161">
        <f>-B69*Main!$B$18-2*Main!$B$18*loop_gain!$B$17*loop_gain!$B$18</f>
        <v>-213.19499999999999</v>
      </c>
      <c r="F69" s="161">
        <f>2*Main!$B$18*loop_gain!$B$17*loop_gain!$B$18*Helper_calcs!$B$14*Current_limit!B69</f>
        <v>2533.7812499999991</v>
      </c>
      <c r="G69" s="161">
        <f t="shared" si="2"/>
        <v>17.488993781609231</v>
      </c>
      <c r="H69" s="161">
        <f>(Main!$B$18-Current_limit!G69)*Current_limit!G69/(Main!$B$18*loop_gain!$B$17*loop_gain!$B$18)</f>
        <v>-1.1543648161839297</v>
      </c>
      <c r="I69" s="161">
        <f t="shared" si="3"/>
        <v>5.0543648161839299</v>
      </c>
      <c r="J69" s="161"/>
      <c r="K69" s="163">
        <f>IF(A69&gt;$B$15,IF(I69&gt;Helper_calcs!$B$15,23,3),0)</f>
        <v>0</v>
      </c>
      <c r="L69" s="162">
        <f t="shared" si="1"/>
        <v>0</v>
      </c>
      <c r="M69" s="162">
        <f t="shared" si="4"/>
        <v>0</v>
      </c>
      <c r="N69" s="161">
        <f t="shared" si="5"/>
        <v>1.2800000000000002</v>
      </c>
      <c r="O69" s="161">
        <f t="shared" si="6"/>
        <v>5</v>
      </c>
      <c r="P69" s="149">
        <f>IF(OR(M69=0,M69=3),loop_gain!$B$18,IF(Current_limit!M69=1,Current_limit!$B$12/(2*(Current_limit!N69-Helper_calcs!$B$15)),IF(OR(M69=2,M69=23),(Main!$B$18-Current_limit!O69)*Current_limit!O69/(Main!$B$18*loop_gain!$B$17*(Helper_calcs!$B$14-Helper_calcs!$B$15)),x)))</f>
        <v>2100000</v>
      </c>
      <c r="Q69" s="161"/>
    </row>
    <row r="70" spans="1:17" x14ac:dyDescent="0.25">
      <c r="A70">
        <f t="shared" si="8"/>
        <v>1.2900000000000003</v>
      </c>
      <c r="B70">
        <f>Main!$B$19/A70</f>
        <v>3.8759689922480614</v>
      </c>
      <c r="D70" s="161">
        <f t="shared" si="0"/>
        <v>3.8759689922480614</v>
      </c>
      <c r="E70" s="161">
        <f>-B70*Main!$B$18-2*Main!$B$18*loop_gain!$B$17*loop_gain!$B$18</f>
        <v>-212.83162790697673</v>
      </c>
      <c r="F70" s="161">
        <f>2*Main!$B$18*loop_gain!$B$17*loop_gain!$B$18*Helper_calcs!$B$14*Current_limit!B70</f>
        <v>2514.13953488372</v>
      </c>
      <c r="G70" s="161">
        <f t="shared" si="2"/>
        <v>17.20128566226018</v>
      </c>
      <c r="H70" s="161">
        <f>(Main!$B$18-Current_limit!G70)*Current_limit!G70/(Main!$B$18*loop_gain!$B$17*loop_gain!$B$18)</f>
        <v>-1.0758634017262563</v>
      </c>
      <c r="I70" s="161">
        <f t="shared" si="3"/>
        <v>4.9758634017262553</v>
      </c>
      <c r="J70" s="161"/>
      <c r="K70" s="163">
        <f>IF(A70&gt;$B$15,IF(I70&gt;Helper_calcs!$B$15,23,3),0)</f>
        <v>0</v>
      </c>
      <c r="L70" s="162">
        <f t="shared" si="1"/>
        <v>0</v>
      </c>
      <c r="M70" s="162">
        <f t="shared" si="4"/>
        <v>0</v>
      </c>
      <c r="N70" s="161">
        <f t="shared" si="5"/>
        <v>1.2900000000000003</v>
      </c>
      <c r="O70" s="161">
        <f t="shared" si="6"/>
        <v>5</v>
      </c>
      <c r="P70" s="149">
        <f>IF(OR(M70=0,M70=3),loop_gain!$B$18,IF(Current_limit!M70=1,Current_limit!$B$12/(2*(Current_limit!N70-Helper_calcs!$B$15)),IF(OR(M70=2,M70=23),(Main!$B$18-Current_limit!O70)*Current_limit!O70/(Main!$B$18*loop_gain!$B$17*(Helper_calcs!$B$14-Helper_calcs!$B$15)),x)))</f>
        <v>2100000</v>
      </c>
      <c r="Q70" s="161"/>
    </row>
    <row r="71" spans="1:17" x14ac:dyDescent="0.25">
      <c r="A71">
        <f t="shared" si="8"/>
        <v>1.3000000000000003</v>
      </c>
      <c r="B71">
        <f>Main!$B$19/A71</f>
        <v>3.8461538461538454</v>
      </c>
      <c r="D71" s="161">
        <f t="shared" si="0"/>
        <v>3.8461538461538454</v>
      </c>
      <c r="E71" s="161">
        <f>-B71*Main!$B$18-2*Main!$B$18*loop_gain!$B$17*loop_gain!$B$18</f>
        <v>-212.47384615384613</v>
      </c>
      <c r="F71" s="161">
        <f>2*Main!$B$18*loop_gain!$B$17*loop_gain!$B$18*Helper_calcs!$B$14*Current_limit!B71</f>
        <v>2494.7999999999993</v>
      </c>
      <c r="G71" s="161">
        <f t="shared" si="2"/>
        <v>16.930258336766144</v>
      </c>
      <c r="H71" s="161">
        <f>(Main!$B$18-Current_limit!G71)*Current_limit!G71/(Main!$B$18*loop_gain!$B$17*loop_gain!$B$18)</f>
        <v>-1.0037343351183958</v>
      </c>
      <c r="I71" s="161">
        <f t="shared" si="3"/>
        <v>4.9037343351183971</v>
      </c>
      <c r="J71" s="161"/>
      <c r="K71" s="163">
        <f>IF(A71&gt;$B$15,IF(I71&gt;Helper_calcs!$B$15,23,3),0)</f>
        <v>0</v>
      </c>
      <c r="L71" s="162">
        <f t="shared" si="1"/>
        <v>0</v>
      </c>
      <c r="M71" s="162">
        <f t="shared" si="4"/>
        <v>0</v>
      </c>
      <c r="N71" s="161">
        <f t="shared" si="5"/>
        <v>1.3000000000000003</v>
      </c>
      <c r="O71" s="161">
        <f t="shared" si="6"/>
        <v>5</v>
      </c>
      <c r="P71" s="149">
        <f>IF(OR(M71=0,M71=3),loop_gain!$B$18,IF(Current_limit!M71=1,Current_limit!$B$12/(2*(Current_limit!N71-Helper_calcs!$B$15)),IF(OR(M71=2,M71=23),(Main!$B$18-Current_limit!O71)*Current_limit!O71/(Main!$B$18*loop_gain!$B$17*(Helper_calcs!$B$14-Helper_calcs!$B$15)),x)))</f>
        <v>2100000</v>
      </c>
      <c r="Q71" s="161"/>
    </row>
    <row r="72" spans="1:17" x14ac:dyDescent="0.25">
      <c r="A72">
        <f t="shared" si="8"/>
        <v>1.3100000000000003</v>
      </c>
      <c r="B72">
        <f>Main!$B$19/A72</f>
        <v>3.8167938931297702</v>
      </c>
      <c r="D72" s="161">
        <f t="shared" si="0"/>
        <v>3.8167938931297702</v>
      </c>
      <c r="E72" s="161">
        <f>-B72*Main!$B$18-2*Main!$B$18*loop_gain!$B$17*loop_gain!$B$18</f>
        <v>-212.12152671755723</v>
      </c>
      <c r="F72" s="161">
        <f>2*Main!$B$18*loop_gain!$B$17*loop_gain!$B$18*Helper_calcs!$B$14*Current_limit!B72</f>
        <v>2475.7557251908388</v>
      </c>
      <c r="G72" s="161">
        <f t="shared" si="2"/>
        <v>16.673942407508637</v>
      </c>
      <c r="H72" s="161">
        <f>(Main!$B$18-Current_limit!G72)*Current_limit!G72/(Main!$B$18*loop_gain!$B$17*loop_gain!$B$18)</f>
        <v>-0.93714582153452719</v>
      </c>
      <c r="I72" s="161">
        <f t="shared" si="3"/>
        <v>4.8371458215345271</v>
      </c>
      <c r="J72" s="161"/>
      <c r="K72" s="163">
        <f>IF(A72&gt;$B$15,IF(I72&gt;Helper_calcs!$B$15,23,3),0)</f>
        <v>0</v>
      </c>
      <c r="L72" s="162">
        <f t="shared" si="1"/>
        <v>0</v>
      </c>
      <c r="M72" s="162">
        <f t="shared" si="4"/>
        <v>0</v>
      </c>
      <c r="N72" s="161">
        <f t="shared" si="5"/>
        <v>1.3100000000000003</v>
      </c>
      <c r="O72" s="161">
        <f t="shared" si="6"/>
        <v>5</v>
      </c>
      <c r="P72" s="149">
        <f>IF(OR(M72=0,M72=3),loop_gain!$B$18,IF(Current_limit!M72=1,Current_limit!$B$12/(2*(Current_limit!N72-Helper_calcs!$B$15)),IF(OR(M72=2,M72=23),(Main!$B$18-Current_limit!O72)*Current_limit!O72/(Main!$B$18*loop_gain!$B$17*(Helper_calcs!$B$14-Helper_calcs!$B$15)),x)))</f>
        <v>2100000</v>
      </c>
      <c r="Q72" s="161"/>
    </row>
    <row r="73" spans="1:17" x14ac:dyDescent="0.25">
      <c r="A73">
        <f t="shared" si="8"/>
        <v>1.3200000000000003</v>
      </c>
      <c r="B73">
        <f>Main!$B$19/A73</f>
        <v>3.7878787878787872</v>
      </c>
      <c r="D73" s="161">
        <f t="shared" si="0"/>
        <v>3.7878787878787872</v>
      </c>
      <c r="E73" s="161">
        <f>-B73*Main!$B$18-2*Main!$B$18*loop_gain!$B$17*loop_gain!$B$18</f>
        <v>-211.77454545454543</v>
      </c>
      <c r="F73" s="161">
        <f>2*Main!$B$18*loop_gain!$B$17*loop_gain!$B$18*Helper_calcs!$B$14*Current_limit!B73</f>
        <v>2456.9999999999991</v>
      </c>
      <c r="G73" s="161">
        <f t="shared" si="2"/>
        <v>16.430719098053398</v>
      </c>
      <c r="H73" s="161">
        <f>(Main!$B$18-Current_limit!G73)*Current_limit!G73/(Main!$B$18*loop_gain!$B$17*loop_gain!$B$18)</f>
        <v>-0.87541968377219692</v>
      </c>
      <c r="I73" s="161">
        <f t="shared" si="3"/>
        <v>4.7754196837721965</v>
      </c>
      <c r="J73" s="161"/>
      <c r="K73" s="163">
        <f>IF(A73&gt;$B$15,IF(I73&gt;Helper_calcs!$B$15,23,3),0)</f>
        <v>0</v>
      </c>
      <c r="L73" s="162">
        <f t="shared" si="1"/>
        <v>0</v>
      </c>
      <c r="M73" s="162">
        <f t="shared" si="4"/>
        <v>0</v>
      </c>
      <c r="N73" s="161">
        <f t="shared" si="5"/>
        <v>1.3200000000000003</v>
      </c>
      <c r="O73" s="161">
        <f t="shared" si="6"/>
        <v>5</v>
      </c>
      <c r="P73" s="149">
        <f>IF(OR(M73=0,M73=3),loop_gain!$B$18,IF(Current_limit!M73=1,Current_limit!$B$12/(2*(Current_limit!N73-Helper_calcs!$B$15)),IF(OR(M73=2,M73=23),(Main!$B$18-Current_limit!O73)*Current_limit!O73/(Main!$B$18*loop_gain!$B$17*(Helper_calcs!$B$14-Helper_calcs!$B$15)),x)))</f>
        <v>2100000</v>
      </c>
      <c r="Q73" s="161"/>
    </row>
    <row r="74" spans="1:17" x14ac:dyDescent="0.25">
      <c r="A74">
        <f t="shared" si="8"/>
        <v>1.3300000000000003</v>
      </c>
      <c r="B74">
        <f>Main!$B$19/A74</f>
        <v>3.7593984962406006</v>
      </c>
      <c r="D74" s="161">
        <f t="shared" si="0"/>
        <v>3.7593984962406006</v>
      </c>
      <c r="E74" s="161">
        <f>-B74*Main!$B$18-2*Main!$B$18*loop_gain!$B$17*loop_gain!$B$18</f>
        <v>-211.43278195488722</v>
      </c>
      <c r="F74" s="161">
        <f>2*Main!$B$18*loop_gain!$B$17*loop_gain!$B$18*Helper_calcs!$B$14*Current_limit!B74</f>
        <v>2438.5263157894728</v>
      </c>
      <c r="G74" s="161">
        <f t="shared" si="2"/>
        <v>16.199238986219683</v>
      </c>
      <c r="H74" s="161">
        <f>(Main!$B$18-Current_limit!G74)*Current_limit!G74/(Main!$B$18*loop_gain!$B$17*loop_gain!$B$18)</f>
        <v>-0.81799514066887347</v>
      </c>
      <c r="I74" s="161">
        <f t="shared" si="3"/>
        <v>4.7179951406688732</v>
      </c>
      <c r="J74" s="161"/>
      <c r="K74" s="163">
        <f>IF(A74&gt;$B$15,IF(I74&gt;Helper_calcs!$B$15,23,3),0)</f>
        <v>0</v>
      </c>
      <c r="L74" s="162">
        <f t="shared" si="1"/>
        <v>0</v>
      </c>
      <c r="M74" s="162">
        <f t="shared" si="4"/>
        <v>0</v>
      </c>
      <c r="N74" s="161">
        <f t="shared" si="5"/>
        <v>1.3300000000000003</v>
      </c>
      <c r="O74" s="161">
        <f t="shared" si="6"/>
        <v>5</v>
      </c>
      <c r="P74" s="149">
        <f>IF(OR(M74=0,M74=3),loop_gain!$B$18,IF(Current_limit!M74=1,Current_limit!$B$12/(2*(Current_limit!N74-Helper_calcs!$B$15)),IF(OR(M74=2,M74=23),(Main!$B$18-Current_limit!O74)*Current_limit!O74/(Main!$B$18*loop_gain!$B$17*(Helper_calcs!$B$14-Helper_calcs!$B$15)),x)))</f>
        <v>2100000</v>
      </c>
      <c r="Q74" s="161"/>
    </row>
    <row r="75" spans="1:17" x14ac:dyDescent="0.25">
      <c r="A75">
        <f t="shared" si="8"/>
        <v>1.3400000000000003</v>
      </c>
      <c r="B75">
        <f>Main!$B$19/A75</f>
        <v>3.7313432835820888</v>
      </c>
      <c r="D75" s="161">
        <f t="shared" si="0"/>
        <v>3.7313432835820888</v>
      </c>
      <c r="E75" s="161">
        <f>-B75*Main!$B$18-2*Main!$B$18*loop_gain!$B$17*loop_gain!$B$18</f>
        <v>-211.09611940298507</v>
      </c>
      <c r="F75" s="161">
        <f>2*Main!$B$18*loop_gain!$B$17*loop_gain!$B$18*Helper_calcs!$B$14*Current_limit!B75</f>
        <v>2420.3283582089543</v>
      </c>
      <c r="G75" s="161">
        <f t="shared" si="2"/>
        <v>15.978363430794749</v>
      </c>
      <c r="H75" s="161">
        <f>(Main!$B$18-Current_limit!G75)*Current_limit!G75/(Main!$B$18*loop_gain!$B$17*loop_gain!$B$18)</f>
        <v>-0.76440279890598795</v>
      </c>
      <c r="I75" s="161">
        <f t="shared" si="3"/>
        <v>4.6644027989059875</v>
      </c>
      <c r="J75" s="161"/>
      <c r="K75" s="163">
        <f>IF(A75&gt;$B$15,IF(I75&gt;Helper_calcs!$B$15,23,3),0)</f>
        <v>0</v>
      </c>
      <c r="L75" s="162">
        <f t="shared" si="1"/>
        <v>0</v>
      </c>
      <c r="M75" s="162">
        <f t="shared" si="4"/>
        <v>0</v>
      </c>
      <c r="N75" s="161">
        <f t="shared" si="5"/>
        <v>1.3400000000000003</v>
      </c>
      <c r="O75" s="161">
        <f t="shared" si="6"/>
        <v>5</v>
      </c>
      <c r="P75" s="149">
        <f>IF(OR(M75=0,M75=3),loop_gain!$B$18,IF(Current_limit!M75=1,Current_limit!$B$12/(2*(Current_limit!N75-Helper_calcs!$B$15)),IF(OR(M75=2,M75=23),(Main!$B$18-Current_limit!O75)*Current_limit!O75/(Main!$B$18*loop_gain!$B$17*(Helper_calcs!$B$14-Helper_calcs!$B$15)),x)))</f>
        <v>2100000</v>
      </c>
      <c r="Q75" s="161"/>
    </row>
    <row r="76" spans="1:17" x14ac:dyDescent="0.25">
      <c r="A76">
        <f t="shared" si="8"/>
        <v>1.3500000000000003</v>
      </c>
      <c r="B76">
        <f>Main!$B$19/A76</f>
        <v>3.7037037037037028</v>
      </c>
      <c r="D76" s="161">
        <f t="shared" si="0"/>
        <v>3.7037037037037028</v>
      </c>
      <c r="E76" s="161">
        <f>-B76*Main!$B$18-2*Main!$B$18*loop_gain!$B$17*loop_gain!$B$18</f>
        <v>-210.76444444444442</v>
      </c>
      <c r="F76" s="161">
        <f>2*Main!$B$18*loop_gain!$B$17*loop_gain!$B$18*Helper_calcs!$B$14*Current_limit!B76</f>
        <v>2402.3999999999992</v>
      </c>
      <c r="G76" s="161">
        <f t="shared" si="2"/>
        <v>15.767121400211956</v>
      </c>
      <c r="H76" s="161">
        <f>(Main!$B$18-Current_limit!G76)*Current_limit!G76/(Main!$B$18*loop_gain!$B$17*loop_gain!$B$18)</f>
        <v>-0.71424555611445828</v>
      </c>
      <c r="I76" s="161">
        <f t="shared" si="3"/>
        <v>4.614245556114458</v>
      </c>
      <c r="J76" s="161"/>
      <c r="K76" s="163">
        <f>IF(A76&gt;$B$15,IF(I76&gt;Helper_calcs!$B$15,23,3),0)</f>
        <v>0</v>
      </c>
      <c r="L76" s="162">
        <f t="shared" si="1"/>
        <v>0</v>
      </c>
      <c r="M76" s="162">
        <f t="shared" si="4"/>
        <v>0</v>
      </c>
      <c r="N76" s="161">
        <f t="shared" si="5"/>
        <v>1.3500000000000003</v>
      </c>
      <c r="O76" s="161">
        <f t="shared" si="6"/>
        <v>5</v>
      </c>
      <c r="P76" s="149">
        <f>IF(OR(M76=0,M76=3),loop_gain!$B$18,IF(Current_limit!M76=1,Current_limit!$B$12/(2*(Current_limit!N76-Helper_calcs!$B$15)),IF(OR(M76=2,M76=23),(Main!$B$18-Current_limit!O76)*Current_limit!O76/(Main!$B$18*loop_gain!$B$17*(Helper_calcs!$B$14-Helper_calcs!$B$15)),x)))</f>
        <v>2100000</v>
      </c>
      <c r="Q76" s="161"/>
    </row>
    <row r="77" spans="1:17" x14ac:dyDescent="0.25">
      <c r="A77">
        <f t="shared" si="8"/>
        <v>1.3600000000000003</v>
      </c>
      <c r="B77">
        <f>Main!$B$19/A77</f>
        <v>3.676470588235293</v>
      </c>
      <c r="D77" s="161">
        <f t="shared" si="0"/>
        <v>3.676470588235293</v>
      </c>
      <c r="E77" s="161">
        <f>-B77*Main!$B$18-2*Main!$B$18*loop_gain!$B$17*loop_gain!$B$18</f>
        <v>-210.4376470588235</v>
      </c>
      <c r="F77" s="161">
        <f>2*Main!$B$18*loop_gain!$B$17*loop_gain!$B$18*Helper_calcs!$B$14*Current_limit!B77</f>
        <v>2384.7352941176459</v>
      </c>
      <c r="G77" s="161">
        <f t="shared" si="2"/>
        <v>15.5646770277387</v>
      </c>
      <c r="H77" s="161">
        <f>(Main!$B$18-Current_limit!G77)*Current_limit!G77/(Main!$B$18*loop_gain!$B$17*loop_gain!$B$18)</f>
        <v>-0.66718430308985588</v>
      </c>
      <c r="I77" s="161">
        <f t="shared" si="3"/>
        <v>4.5671843030898556</v>
      </c>
      <c r="J77" s="161"/>
      <c r="K77" s="163">
        <f>IF(A77&gt;$B$15,IF(I77&gt;Helper_calcs!$B$15,23,3),0)</f>
        <v>0</v>
      </c>
      <c r="L77" s="162">
        <f t="shared" si="1"/>
        <v>0</v>
      </c>
      <c r="M77" s="162">
        <f t="shared" si="4"/>
        <v>0</v>
      </c>
      <c r="N77" s="161">
        <f t="shared" si="5"/>
        <v>1.3600000000000003</v>
      </c>
      <c r="O77" s="161">
        <f t="shared" si="6"/>
        <v>5</v>
      </c>
      <c r="P77" s="149">
        <f>IF(OR(M77=0,M77=3),loop_gain!$B$18,IF(Current_limit!M77=1,Current_limit!$B$12/(2*(Current_limit!N77-Helper_calcs!$B$15)),IF(OR(M77=2,M77=23),(Main!$B$18-Current_limit!O77)*Current_limit!O77/(Main!$B$18*loop_gain!$B$17*(Helper_calcs!$B$14-Helper_calcs!$B$15)),x)))</f>
        <v>2100000</v>
      </c>
      <c r="Q77" s="161"/>
    </row>
    <row r="78" spans="1:17" x14ac:dyDescent="0.25">
      <c r="A78">
        <f t="shared" si="8"/>
        <v>1.3700000000000003</v>
      </c>
      <c r="B78">
        <f>Main!$B$19/A78</f>
        <v>3.6496350364963495</v>
      </c>
      <c r="D78" s="161">
        <f t="shared" si="0"/>
        <v>3.6496350364963495</v>
      </c>
      <c r="E78" s="161">
        <f>-B78*Main!$B$18-2*Main!$B$18*loop_gain!$B$17*loop_gain!$B$18</f>
        <v>-210.11562043795618</v>
      </c>
      <c r="F78" s="161">
        <f>2*Main!$B$18*loop_gain!$B$17*loop_gain!$B$18*Helper_calcs!$B$14*Current_limit!B78</f>
        <v>2367.3284671532838</v>
      </c>
      <c r="G78" s="161">
        <f t="shared" si="2"/>
        <v>15.370304807336229</v>
      </c>
      <c r="H78" s="161">
        <f>(Main!$B$18-Current_limit!G78)*Current_limit!G78/(Main!$B$18*loop_gain!$B$17*loop_gain!$B$18)</f>
        <v>-0.62292703442025543</v>
      </c>
      <c r="I78" s="161">
        <f t="shared" si="3"/>
        <v>4.5229270344202552</v>
      </c>
      <c r="J78" s="161"/>
      <c r="K78" s="163">
        <f>IF(A78&gt;$B$15,IF(I78&gt;Helper_calcs!$B$15,23,3),0)</f>
        <v>0</v>
      </c>
      <c r="L78" s="162">
        <f t="shared" si="1"/>
        <v>0</v>
      </c>
      <c r="M78" s="162">
        <f t="shared" si="4"/>
        <v>0</v>
      </c>
      <c r="N78" s="161">
        <f t="shared" si="5"/>
        <v>1.3700000000000003</v>
      </c>
      <c r="O78" s="161">
        <f t="shared" si="6"/>
        <v>5</v>
      </c>
      <c r="P78" s="149">
        <f>IF(OR(M78=0,M78=3),loop_gain!$B$18,IF(Current_limit!M78=1,Current_limit!$B$12/(2*(Current_limit!N78-Helper_calcs!$B$15)),IF(OR(M78=2,M78=23),(Main!$B$18-Current_limit!O78)*Current_limit!O78/(Main!$B$18*loop_gain!$B$17*(Helper_calcs!$B$14-Helper_calcs!$B$15)),x)))</f>
        <v>2100000</v>
      </c>
      <c r="Q78" s="161"/>
    </row>
    <row r="79" spans="1:17" x14ac:dyDescent="0.25">
      <c r="A79">
        <f t="shared" si="8"/>
        <v>1.3800000000000003</v>
      </c>
      <c r="B79">
        <f>Main!$B$19/A79</f>
        <v>3.6231884057971007</v>
      </c>
      <c r="D79" s="161">
        <f t="shared" si="0"/>
        <v>3.6231884057971007</v>
      </c>
      <c r="E79" s="161">
        <f>-B79*Main!$B$18-2*Main!$B$18*loop_gain!$B$17*loop_gain!$B$18</f>
        <v>-209.79826086956518</v>
      </c>
      <c r="F79" s="161">
        <f>2*Main!$B$18*loop_gain!$B$17*loop_gain!$B$18*Helper_calcs!$B$14*Current_limit!B79</f>
        <v>2350.1739130434776</v>
      </c>
      <c r="G79" s="161">
        <f t="shared" si="2"/>
        <v>15.183370341297239</v>
      </c>
      <c r="H79" s="161">
        <f>(Main!$B$18-Current_limit!G79)*Current_limit!G79/(Main!$B$18*loop_gain!$B$17*loop_gain!$B$18)</f>
        <v>-0.58122042839607713</v>
      </c>
      <c r="I79" s="161">
        <f t="shared" si="3"/>
        <v>4.4812204283960781</v>
      </c>
      <c r="J79" s="161"/>
      <c r="K79" s="163">
        <f>IF(A79&gt;$B$15,IF(I79&gt;Helper_calcs!$B$15,23,3),0)</f>
        <v>0</v>
      </c>
      <c r="L79" s="162">
        <f t="shared" si="1"/>
        <v>0</v>
      </c>
      <c r="M79" s="162">
        <f t="shared" si="4"/>
        <v>0</v>
      </c>
      <c r="N79" s="161">
        <f t="shared" si="5"/>
        <v>1.3800000000000003</v>
      </c>
      <c r="O79" s="161">
        <f t="shared" si="6"/>
        <v>5</v>
      </c>
      <c r="P79" s="149">
        <f>IF(OR(M79=0,M79=3),loop_gain!$B$18,IF(Current_limit!M79=1,Current_limit!$B$12/(2*(Current_limit!N79-Helper_calcs!$B$15)),IF(OR(M79=2,M79=23),(Main!$B$18-Current_limit!O79)*Current_limit!O79/(Main!$B$18*loop_gain!$B$17*(Helper_calcs!$B$14-Helper_calcs!$B$15)),x)))</f>
        <v>2100000</v>
      </c>
      <c r="Q79" s="161"/>
    </row>
    <row r="80" spans="1:17" x14ac:dyDescent="0.25">
      <c r="A80">
        <f t="shared" si="8"/>
        <v>1.3900000000000003</v>
      </c>
      <c r="B80">
        <f>Main!$B$19/A80</f>
        <v>3.5971223021582723</v>
      </c>
      <c r="D80" s="161">
        <f t="shared" si="0"/>
        <v>3.5971223021582723</v>
      </c>
      <c r="E80" s="161">
        <f>-B80*Main!$B$18-2*Main!$B$18*loop_gain!$B$17*loop_gain!$B$18</f>
        <v>-209.48546762589928</v>
      </c>
      <c r="F80" s="161">
        <f>2*Main!$B$18*loop_gain!$B$17*loop_gain!$B$18*Helper_calcs!$B$14*Current_limit!B80</f>
        <v>2333.2661870503589</v>
      </c>
      <c r="G80" s="161">
        <f t="shared" si="2"/>
        <v>15.003315193650758</v>
      </c>
      <c r="H80" s="161">
        <f>(Main!$B$18-Current_limit!G80)*Current_limit!G80/(Main!$B$18*loop_gain!$B$17*loop_gain!$B$18)</f>
        <v>-0.54184324766982439</v>
      </c>
      <c r="I80" s="161">
        <f t="shared" si="3"/>
        <v>4.4418432476698237</v>
      </c>
      <c r="J80" s="161"/>
      <c r="K80" s="163">
        <f>IF(A80&gt;$B$15,IF(I80&gt;Helper_calcs!$B$15,23,3),0)</f>
        <v>0</v>
      </c>
      <c r="L80" s="162">
        <f t="shared" si="1"/>
        <v>0</v>
      </c>
      <c r="M80" s="162">
        <f t="shared" si="4"/>
        <v>0</v>
      </c>
      <c r="N80" s="161">
        <f t="shared" si="5"/>
        <v>1.3900000000000003</v>
      </c>
      <c r="O80" s="161">
        <f t="shared" si="6"/>
        <v>5</v>
      </c>
      <c r="P80" s="149">
        <f>IF(OR(M80=0,M80=3),loop_gain!$B$18,IF(Current_limit!M80=1,Current_limit!$B$12/(2*(Current_limit!N80-Helper_calcs!$B$15)),IF(OR(M80=2,M80=23),(Main!$B$18-Current_limit!O80)*Current_limit!O80/(Main!$B$18*loop_gain!$B$17*(Helper_calcs!$B$14-Helper_calcs!$B$15)),x)))</f>
        <v>2100000</v>
      </c>
      <c r="Q80" s="161"/>
    </row>
    <row r="81" spans="1:17" x14ac:dyDescent="0.25">
      <c r="A81">
        <f t="shared" si="8"/>
        <v>1.4000000000000004</v>
      </c>
      <c r="B81">
        <f>Main!$B$19/A81</f>
        <v>3.5714285714285707</v>
      </c>
      <c r="D81" s="161">
        <f t="shared" si="0"/>
        <v>3.5714285714285707</v>
      </c>
      <c r="E81" s="161">
        <f>-B81*Main!$B$18-2*Main!$B$18*loop_gain!$B$17*loop_gain!$B$18</f>
        <v>-209.17714285714283</v>
      </c>
      <c r="F81" s="161">
        <f>2*Main!$B$18*loop_gain!$B$17*loop_gain!$B$18*Helper_calcs!$B$14*Current_limit!B81</f>
        <v>2316.5999999999995</v>
      </c>
      <c r="G81" s="161">
        <f t="shared" si="2"/>
        <v>14.829644828228234</v>
      </c>
      <c r="H81" s="161">
        <f>(Main!$B$18-Current_limit!G81)*Current_limit!G81/(Main!$B$18*loop_gain!$B$17*loop_gain!$B$18)</f>
        <v>-0.50460110380781154</v>
      </c>
      <c r="I81" s="161">
        <f t="shared" si="3"/>
        <v>4.4046011038078126</v>
      </c>
      <c r="J81" s="161"/>
      <c r="K81" s="163">
        <f>IF(A81&gt;$B$15,IF(I81&gt;Helper_calcs!$B$15,23,3),0)</f>
        <v>0</v>
      </c>
      <c r="L81" s="162">
        <f t="shared" si="1"/>
        <v>0</v>
      </c>
      <c r="M81" s="162">
        <f t="shared" si="4"/>
        <v>0</v>
      </c>
      <c r="N81" s="161">
        <f t="shared" si="5"/>
        <v>1.4000000000000004</v>
      </c>
      <c r="O81" s="161">
        <f t="shared" si="6"/>
        <v>5</v>
      </c>
      <c r="P81" s="149">
        <f>IF(OR(M81=0,M81=3),loop_gain!$B$18,IF(Current_limit!M81=1,Current_limit!$B$12/(2*(Current_limit!N81-Helper_calcs!$B$15)),IF(OR(M81=2,M81=23),(Main!$B$18-Current_limit!O81)*Current_limit!O81/(Main!$B$18*loop_gain!$B$17*(Helper_calcs!$B$14-Helper_calcs!$B$15)),x)))</f>
        <v>2100000</v>
      </c>
      <c r="Q81" s="161"/>
    </row>
    <row r="82" spans="1:17" x14ac:dyDescent="0.25">
      <c r="A82">
        <f t="shared" si="8"/>
        <v>1.4100000000000004</v>
      </c>
      <c r="B82">
        <f>Main!$B$19/A82</f>
        <v>3.5460992907801407</v>
      </c>
      <c r="D82" s="161">
        <f t="shared" si="0"/>
        <v>3.5460992907801407</v>
      </c>
      <c r="E82" s="161">
        <f>-B82*Main!$B$18-2*Main!$B$18*loop_gain!$B$17*loop_gain!$B$18</f>
        <v>-208.87319148936169</v>
      </c>
      <c r="F82" s="161">
        <f>2*Main!$B$18*loop_gain!$B$17*loop_gain!$B$18*Helper_calcs!$B$14*Current_limit!B82</f>
        <v>2300.1702127659564</v>
      </c>
      <c r="G82" s="161">
        <f t="shared" si="2"/>
        <v>14.661918897357562</v>
      </c>
      <c r="H82" s="161">
        <f>(Main!$B$18-Current_limit!G82)*Current_limit!G82/(Main!$B$18*loop_gain!$B$17*loop_gain!$B$18)</f>
        <v>-0.46932225810966877</v>
      </c>
      <c r="I82" s="161">
        <f t="shared" si="3"/>
        <v>4.3693222581096682</v>
      </c>
      <c r="J82" s="161"/>
      <c r="K82" s="163">
        <f>IF(A82&gt;$B$15,IF(I82&gt;Helper_calcs!$B$15,23,3),0)</f>
        <v>0</v>
      </c>
      <c r="L82" s="162">
        <f t="shared" si="1"/>
        <v>0</v>
      </c>
      <c r="M82" s="162">
        <f t="shared" si="4"/>
        <v>0</v>
      </c>
      <c r="N82" s="161">
        <f t="shared" si="5"/>
        <v>1.4100000000000004</v>
      </c>
      <c r="O82" s="161">
        <f t="shared" si="6"/>
        <v>5</v>
      </c>
      <c r="P82" s="149">
        <f>IF(OR(M82=0,M82=3),loop_gain!$B$18,IF(Current_limit!M82=1,Current_limit!$B$12/(2*(Current_limit!N82-Helper_calcs!$B$15)),IF(OR(M82=2,M82=23),(Main!$B$18-Current_limit!O82)*Current_limit!O82/(Main!$B$18*loop_gain!$B$17*(Helper_calcs!$B$14-Helper_calcs!$B$15)),x)))</f>
        <v>2100000</v>
      </c>
      <c r="Q82" s="161"/>
    </row>
    <row r="83" spans="1:17" x14ac:dyDescent="0.25">
      <c r="A83">
        <f t="shared" si="8"/>
        <v>1.4200000000000004</v>
      </c>
      <c r="B83">
        <f>Main!$B$19/A83</f>
        <v>3.5211267605633791</v>
      </c>
      <c r="D83" s="161">
        <f t="shared" si="0"/>
        <v>3.5211267605633791</v>
      </c>
      <c r="E83" s="161">
        <f>-B83*Main!$B$18-2*Main!$B$18*loop_gain!$B$17*loop_gain!$B$18</f>
        <v>-208.57352112676054</v>
      </c>
      <c r="F83" s="161">
        <f>2*Main!$B$18*loop_gain!$B$17*loop_gain!$B$18*Helper_calcs!$B$14*Current_limit!B83</f>
        <v>2283.9718309859145</v>
      </c>
      <c r="G83" s="161">
        <f t="shared" si="2"/>
        <v>14.499743344966857</v>
      </c>
      <c r="H83" s="161">
        <f>(Main!$B$18-Current_limit!G83)*Current_limit!G83/(Main!$B$18*loop_gain!$B$17*loop_gain!$B$18)</f>
        <v>-0.43585421994117823</v>
      </c>
      <c r="I83" s="161">
        <f t="shared" si="3"/>
        <v>4.3358542199411785</v>
      </c>
      <c r="J83" s="161"/>
      <c r="K83" s="163">
        <f>IF(A83&gt;$B$15,IF(I83&gt;Helper_calcs!$B$15,23,3),0)</f>
        <v>0</v>
      </c>
      <c r="L83" s="162">
        <f t="shared" si="1"/>
        <v>0</v>
      </c>
      <c r="M83" s="162">
        <f t="shared" si="4"/>
        <v>0</v>
      </c>
      <c r="N83" s="161">
        <f t="shared" si="5"/>
        <v>1.4200000000000004</v>
      </c>
      <c r="O83" s="161">
        <f t="shared" si="6"/>
        <v>5</v>
      </c>
      <c r="P83" s="149">
        <f>IF(OR(M83=0,M83=3),loop_gain!$B$18,IF(Current_limit!M83=1,Current_limit!$B$12/(2*(Current_limit!N83-Helper_calcs!$B$15)),IF(OR(M83=2,M83=23),(Main!$B$18-Current_limit!O83)*Current_limit!O83/(Main!$B$18*loop_gain!$B$17*(Helper_calcs!$B$14-Helper_calcs!$B$15)),x)))</f>
        <v>2100000</v>
      </c>
      <c r="Q83" s="161"/>
    </row>
    <row r="84" spans="1:17" x14ac:dyDescent="0.25">
      <c r="A84">
        <f t="shared" si="8"/>
        <v>1.4300000000000004</v>
      </c>
      <c r="B84">
        <f>Main!$B$19/A84</f>
        <v>3.4965034965034958</v>
      </c>
      <c r="D84" s="161">
        <f t="shared" si="0"/>
        <v>3.4965034965034958</v>
      </c>
      <c r="E84" s="161">
        <f>-B84*Main!$B$18-2*Main!$B$18*loop_gain!$B$17*loop_gain!$B$18</f>
        <v>-208.27804195804194</v>
      </c>
      <c r="F84" s="161">
        <f>2*Main!$B$18*loop_gain!$B$17*loop_gain!$B$18*Helper_calcs!$B$14*Current_limit!B84</f>
        <v>2267.9999999999991</v>
      </c>
      <c r="G84" s="161">
        <f t="shared" si="2"/>
        <v>14.342763926637366</v>
      </c>
      <c r="H84" s="161">
        <f>(Main!$B$18-Current_limit!G84)*Current_limit!G84/(Main!$B$18*loop_gain!$B$17*loop_gain!$B$18)</f>
        <v>-0.40406096603657671</v>
      </c>
      <c r="I84" s="161">
        <f t="shared" si="3"/>
        <v>4.3040609660365758</v>
      </c>
      <c r="J84" s="161"/>
      <c r="K84" s="163">
        <f>IF(A84&gt;$B$15,IF(I84&gt;Helper_calcs!$B$15,23,3),0)</f>
        <v>0</v>
      </c>
      <c r="L84" s="162">
        <f t="shared" si="1"/>
        <v>0</v>
      </c>
      <c r="M84" s="162">
        <f t="shared" si="4"/>
        <v>0</v>
      </c>
      <c r="N84" s="161">
        <f t="shared" si="5"/>
        <v>1.4300000000000004</v>
      </c>
      <c r="O84" s="161">
        <f t="shared" si="6"/>
        <v>5</v>
      </c>
      <c r="P84" s="149">
        <f>IF(OR(M84=0,M84=3),loop_gain!$B$18,IF(Current_limit!M84=1,Current_limit!$B$12/(2*(Current_limit!N84-Helper_calcs!$B$15)),IF(OR(M84=2,M84=23),(Main!$B$18-Current_limit!O84)*Current_limit!O84/(Main!$B$18*loop_gain!$B$17*(Helper_calcs!$B$14-Helper_calcs!$B$15)),x)))</f>
        <v>2100000</v>
      </c>
      <c r="Q84" s="161"/>
    </row>
    <row r="85" spans="1:17" x14ac:dyDescent="0.25">
      <c r="A85">
        <f t="shared" si="8"/>
        <v>1.4400000000000004</v>
      </c>
      <c r="B85">
        <f>Main!$B$19/A85</f>
        <v>3.4722222222222214</v>
      </c>
      <c r="D85" s="161">
        <f t="shared" si="0"/>
        <v>3.4722222222222214</v>
      </c>
      <c r="E85" s="161">
        <f>-B85*Main!$B$18-2*Main!$B$18*loop_gain!$B$17*loop_gain!$B$18</f>
        <v>-207.98666666666665</v>
      </c>
      <c r="F85" s="161">
        <f>2*Main!$B$18*loop_gain!$B$17*loop_gain!$B$18*Helper_calcs!$B$14*Current_limit!B85</f>
        <v>2252.2499999999991</v>
      </c>
      <c r="G85" s="161">
        <f t="shared" si="2"/>
        <v>14.190660848064223</v>
      </c>
      <c r="H85" s="161">
        <f>(Main!$B$18-Current_limit!G85)*Current_limit!G85/(Main!$B$18*loop_gain!$B$17*loop_gain!$B$18)</f>
        <v>-0.37382064848499436</v>
      </c>
      <c r="I85" s="161">
        <f t="shared" si="3"/>
        <v>4.2738206484849943</v>
      </c>
      <c r="J85" s="161"/>
      <c r="K85" s="163">
        <f>IF(A85&gt;$B$15,IF(I85&gt;Helper_calcs!$B$15,23,3),0)</f>
        <v>0</v>
      </c>
      <c r="L85" s="162">
        <f t="shared" si="1"/>
        <v>0</v>
      </c>
      <c r="M85" s="162">
        <f t="shared" si="4"/>
        <v>0</v>
      </c>
      <c r="N85" s="161">
        <f t="shared" si="5"/>
        <v>1.4400000000000004</v>
      </c>
      <c r="O85" s="161">
        <f t="shared" si="6"/>
        <v>5</v>
      </c>
      <c r="P85" s="149">
        <f>IF(OR(M85=0,M85=3),loop_gain!$B$18,IF(Current_limit!M85=1,Current_limit!$B$12/(2*(Current_limit!N85-Helper_calcs!$B$15)),IF(OR(M85=2,M85=23),(Main!$B$18-Current_limit!O85)*Current_limit!O85/(Main!$B$18*loop_gain!$B$17*(Helper_calcs!$B$14-Helper_calcs!$B$15)),x)))</f>
        <v>2100000</v>
      </c>
      <c r="Q85" s="161"/>
    </row>
    <row r="86" spans="1:17" x14ac:dyDescent="0.25">
      <c r="A86">
        <f t="shared" si="8"/>
        <v>1.4500000000000004</v>
      </c>
      <c r="B86">
        <f>Main!$B$19/A86</f>
        <v>3.4482758620689644</v>
      </c>
      <c r="D86" s="161">
        <f t="shared" si="0"/>
        <v>3.4482758620689644</v>
      </c>
      <c r="E86" s="161">
        <f>-B86*Main!$B$18-2*Main!$B$18*loop_gain!$B$17*loop_gain!$B$18</f>
        <v>-207.69931034482755</v>
      </c>
      <c r="F86" s="161">
        <f>2*Main!$B$18*loop_gain!$B$17*loop_gain!$B$18*Helper_calcs!$B$14*Current_limit!B86</f>
        <v>2236.7172413793091</v>
      </c>
      <c r="G86" s="161">
        <f t="shared" si="2"/>
        <v>14.043144294947576</v>
      </c>
      <c r="H86" s="161">
        <f>(Main!$B$18-Current_limit!G86)*Current_limit!G86/(Main!$B$18*loop_gain!$B$17*loop_gain!$B$18)</f>
        <v>-0.34502369106959757</v>
      </c>
      <c r="I86" s="161">
        <f t="shared" si="3"/>
        <v>4.2450236910695969</v>
      </c>
      <c r="J86" s="161"/>
      <c r="K86" s="163">
        <f>IF(A86&gt;$B$15,IF(I86&gt;Helper_calcs!$B$15,23,3),0)</f>
        <v>0</v>
      </c>
      <c r="L86" s="162">
        <f t="shared" si="1"/>
        <v>0</v>
      </c>
      <c r="M86" s="162">
        <f t="shared" si="4"/>
        <v>0</v>
      </c>
      <c r="N86" s="161">
        <f t="shared" si="5"/>
        <v>1.4500000000000004</v>
      </c>
      <c r="O86" s="161">
        <f t="shared" si="6"/>
        <v>5</v>
      </c>
      <c r="P86" s="149">
        <f>IF(OR(M86=0,M86=3),loop_gain!$B$18,IF(Current_limit!M86=1,Current_limit!$B$12/(2*(Current_limit!N86-Helper_calcs!$B$15)),IF(OR(M86=2,M86=23),(Main!$B$18-Current_limit!O86)*Current_limit!O86/(Main!$B$18*loop_gain!$B$17*(Helper_calcs!$B$14-Helper_calcs!$B$15)),x)))</f>
        <v>2100000</v>
      </c>
      <c r="Q86" s="161"/>
    </row>
    <row r="87" spans="1:17" x14ac:dyDescent="0.25">
      <c r="A87">
        <f t="shared" si="8"/>
        <v>1.4600000000000004</v>
      </c>
      <c r="B87">
        <f>Main!$B$19/A87</f>
        <v>3.4246575342465744</v>
      </c>
      <c r="D87" s="161">
        <f t="shared" ref="D87:D150" si="9">B87</f>
        <v>3.4246575342465744</v>
      </c>
      <c r="E87" s="161">
        <f>-B87*Main!$B$18-2*Main!$B$18*loop_gain!$B$17*loop_gain!$B$18</f>
        <v>-207.41589041095889</v>
      </c>
      <c r="F87" s="161">
        <f>2*Main!$B$18*loop_gain!$B$17*loop_gain!$B$18*Helper_calcs!$B$14*Current_limit!B87</f>
        <v>2221.3972602739718</v>
      </c>
      <c r="G87" s="161">
        <f t="shared" si="2"/>
        <v>13.899950679814836</v>
      </c>
      <c r="H87" s="161">
        <f>(Main!$B$18-Current_limit!G87)*Current_limit!G87/(Main!$B$18*loop_gain!$B$17*loop_gain!$B$18)</f>
        <v>-0.31757119701186737</v>
      </c>
      <c r="I87" s="161">
        <f t="shared" si="3"/>
        <v>4.2175711970118668</v>
      </c>
      <c r="J87" s="161"/>
      <c r="K87" s="163">
        <f>IF(A87&gt;$B$15,IF(I87&gt;Helper_calcs!$B$15,23,3),0)</f>
        <v>0</v>
      </c>
      <c r="L87" s="162">
        <f t="shared" ref="L87:L150" si="10">IF(A87&gt;$B$13,IF(A87&gt;$B$14,2,1),0)</f>
        <v>0</v>
      </c>
      <c r="M87" s="162">
        <f t="shared" si="4"/>
        <v>0</v>
      </c>
      <c r="N87" s="161">
        <f t="shared" si="5"/>
        <v>1.4600000000000004</v>
      </c>
      <c r="O87" s="161">
        <f t="shared" si="6"/>
        <v>5</v>
      </c>
      <c r="P87" s="149">
        <f>IF(OR(M87=0,M87=3),loop_gain!$B$18,IF(Current_limit!M87=1,Current_limit!$B$12/(2*(Current_limit!N87-Helper_calcs!$B$15)),IF(OR(M87=2,M87=23),(Main!$B$18-Current_limit!O87)*Current_limit!O87/(Main!$B$18*loop_gain!$B$17*(Helper_calcs!$B$14-Helper_calcs!$B$15)),x)))</f>
        <v>2100000</v>
      </c>
      <c r="Q87" s="161"/>
    </row>
    <row r="88" spans="1:17" x14ac:dyDescent="0.25">
      <c r="A88">
        <f t="shared" si="8"/>
        <v>1.4700000000000004</v>
      </c>
      <c r="B88">
        <f>Main!$B$19/A88</f>
        <v>3.401360544217686</v>
      </c>
      <c r="D88" s="161">
        <f t="shared" si="9"/>
        <v>3.401360544217686</v>
      </c>
      <c r="E88" s="161">
        <f>-B88*Main!$B$18-2*Main!$B$18*loop_gain!$B$17*loop_gain!$B$18</f>
        <v>-207.13632653061222</v>
      </c>
      <c r="F88" s="161">
        <f>2*Main!$B$18*loop_gain!$B$17*loop_gain!$B$18*Helper_calcs!$B$14*Current_limit!B88</f>
        <v>2206.2857142857133</v>
      </c>
      <c r="G88" s="161">
        <f t="shared" ref="G88:G151" si="11">(-E88-SQRT(E88^2-4*D88*F88))/(2*D88)</f>
        <v>13.760839470236455</v>
      </c>
      <c r="H88" s="161">
        <f>(Main!$B$18-Current_limit!G88)*Current_limit!G88/(Main!$B$18*loop_gain!$B$17*loop_gain!$B$18)</f>
        <v>-0.29137360849903871</v>
      </c>
      <c r="I88" s="161">
        <f t="shared" ref="I88:I151" si="12">(G88/B88)-0.5*H88</f>
        <v>4.1913736084990383</v>
      </c>
      <c r="J88" s="161"/>
      <c r="K88" s="163">
        <f>IF(A88&gt;$B$15,IF(I88&gt;Helper_calcs!$B$15,23,3),0)</f>
        <v>0</v>
      </c>
      <c r="L88" s="162">
        <f t="shared" si="10"/>
        <v>0</v>
      </c>
      <c r="M88" s="162">
        <f t="shared" ref="M88:M151" si="13">IF($B$16="N",L88,K88)</f>
        <v>0</v>
      </c>
      <c r="N88" s="161">
        <f t="shared" ref="N88:N151" si="14">IF(OR(M88=0,M88=1),A88,IF(OR(M88=2,M88=23),$B$14,G88/B88))</f>
        <v>1.4700000000000004</v>
      </c>
      <c r="O88" s="161">
        <f t="shared" ref="O88:O151" si="15">N88*B88</f>
        <v>5</v>
      </c>
      <c r="P88" s="149">
        <f>IF(OR(M88=0,M88=3),loop_gain!$B$18,IF(Current_limit!M88=1,Current_limit!$B$12/(2*(Current_limit!N88-Helper_calcs!$B$15)),IF(OR(M88=2,M88=23),(Main!$B$18-Current_limit!O88)*Current_limit!O88/(Main!$B$18*loop_gain!$B$17*(Helper_calcs!$B$14-Helper_calcs!$B$15)),x)))</f>
        <v>2100000</v>
      </c>
      <c r="Q88" s="161"/>
    </row>
    <row r="89" spans="1:17" x14ac:dyDescent="0.25">
      <c r="A89">
        <f t="shared" si="8"/>
        <v>1.4800000000000004</v>
      </c>
      <c r="B89">
        <f>Main!$B$19/A89</f>
        <v>3.3783783783783776</v>
      </c>
      <c r="D89" s="161">
        <f t="shared" si="9"/>
        <v>3.3783783783783776</v>
      </c>
      <c r="E89" s="161">
        <f>-B89*Main!$B$18-2*Main!$B$18*loop_gain!$B$17*loop_gain!$B$18</f>
        <v>-206.86054054054051</v>
      </c>
      <c r="F89" s="161">
        <f>2*Main!$B$18*loop_gain!$B$17*loop_gain!$B$18*Helper_calcs!$B$14*Current_limit!B89</f>
        <v>2191.3783783783774</v>
      </c>
      <c r="G89" s="161">
        <f t="shared" si="11"/>
        <v>13.625590492157928</v>
      </c>
      <c r="H89" s="161">
        <f>(Main!$B$18-Current_limit!G89)*Current_limit!G89/(Main!$B$18*loop_gain!$B$17*loop_gain!$B$18)</f>
        <v>-0.26634957135749621</v>
      </c>
      <c r="I89" s="161">
        <f t="shared" si="12"/>
        <v>4.1663495713574958</v>
      </c>
      <c r="J89" s="161"/>
      <c r="K89" s="163">
        <f>IF(A89&gt;$B$15,IF(I89&gt;Helper_calcs!$B$15,23,3),0)</f>
        <v>0</v>
      </c>
      <c r="L89" s="162">
        <f t="shared" si="10"/>
        <v>0</v>
      </c>
      <c r="M89" s="162">
        <f t="shared" si="13"/>
        <v>0</v>
      </c>
      <c r="N89" s="161">
        <f t="shared" si="14"/>
        <v>1.4800000000000004</v>
      </c>
      <c r="O89" s="161">
        <f t="shared" si="15"/>
        <v>5</v>
      </c>
      <c r="P89" s="149">
        <f>IF(OR(M89=0,M89=3),loop_gain!$B$18,IF(Current_limit!M89=1,Current_limit!$B$12/(2*(Current_limit!N89-Helper_calcs!$B$15)),IF(OR(M89=2,M89=23),(Main!$B$18-Current_limit!O89)*Current_limit!O89/(Main!$B$18*loop_gain!$B$17*(Helper_calcs!$B$14-Helper_calcs!$B$15)),x)))</f>
        <v>2100000</v>
      </c>
      <c r="Q89" s="161"/>
    </row>
    <row r="90" spans="1:17" x14ac:dyDescent="0.25">
      <c r="A90">
        <f t="shared" si="8"/>
        <v>1.4900000000000004</v>
      </c>
      <c r="B90">
        <f>Main!$B$19/A90</f>
        <v>3.3557046979865763</v>
      </c>
      <c r="D90" s="161">
        <f t="shared" si="9"/>
        <v>3.3557046979865763</v>
      </c>
      <c r="E90" s="161">
        <f>-B90*Main!$B$18-2*Main!$B$18*loop_gain!$B$17*loop_gain!$B$18</f>
        <v>-206.58845637583892</v>
      </c>
      <c r="F90" s="161">
        <f>2*Main!$B$18*loop_gain!$B$17*loop_gain!$B$18*Helper_calcs!$B$14*Current_limit!B90</f>
        <v>2176.6711409395966</v>
      </c>
      <c r="G90" s="161">
        <f t="shared" si="11"/>
        <v>13.494001624278166</v>
      </c>
      <c r="H90" s="161">
        <f>(Main!$B$18-Current_limit!G90)*Current_limit!G90/(Main!$B$18*loop_gain!$B$17*loop_gain!$B$18)</f>
        <v>-0.24242496806979064</v>
      </c>
      <c r="I90" s="161">
        <f t="shared" si="12"/>
        <v>4.1424249680697898</v>
      </c>
      <c r="J90" s="161"/>
      <c r="K90" s="163">
        <f>IF(A90&gt;$B$15,IF(I90&gt;Helper_calcs!$B$15,23,3),0)</f>
        <v>0</v>
      </c>
      <c r="L90" s="162">
        <f t="shared" si="10"/>
        <v>0</v>
      </c>
      <c r="M90" s="162">
        <f t="shared" si="13"/>
        <v>0</v>
      </c>
      <c r="N90" s="161">
        <f t="shared" si="14"/>
        <v>1.4900000000000004</v>
      </c>
      <c r="O90" s="161">
        <f t="shared" si="15"/>
        <v>5</v>
      </c>
      <c r="P90" s="149">
        <f>IF(OR(M90=0,M90=3),loop_gain!$B$18,IF(Current_limit!M90=1,Current_limit!$B$12/(2*(Current_limit!N90-Helper_calcs!$B$15)),IF(OR(M90=2,M90=23),(Main!$B$18-Current_limit!O90)*Current_limit!O90/(Main!$B$18*loop_gain!$B$17*(Helper_calcs!$B$14-Helper_calcs!$B$15)),x)))</f>
        <v>2100000</v>
      </c>
      <c r="Q90" s="161"/>
    </row>
    <row r="91" spans="1:17" x14ac:dyDescent="0.25">
      <c r="A91">
        <f t="shared" si="8"/>
        <v>1.5000000000000004</v>
      </c>
      <c r="B91">
        <f>Main!$B$19/A91</f>
        <v>3.3333333333333321</v>
      </c>
      <c r="D91" s="161">
        <f t="shared" si="9"/>
        <v>3.3333333333333321</v>
      </c>
      <c r="E91" s="161">
        <f>-B91*Main!$B$18-2*Main!$B$18*loop_gain!$B$17*loop_gain!$B$18</f>
        <v>-206.32</v>
      </c>
      <c r="F91" s="161">
        <f>2*Main!$B$18*loop_gain!$B$17*loop_gain!$B$18*Helper_calcs!$B$14*Current_limit!B91</f>
        <v>2162.1599999999989</v>
      </c>
      <c r="G91" s="161">
        <f t="shared" si="11"/>
        <v>13.365886816426178</v>
      </c>
      <c r="H91" s="161">
        <f>(Main!$B$18-Current_limit!G91)*Current_limit!G91/(Main!$B$18*loop_gain!$B$17*loop_gain!$B$18)</f>
        <v>-0.21953208985571157</v>
      </c>
      <c r="I91" s="161">
        <f t="shared" si="12"/>
        <v>4.1195320898557108</v>
      </c>
      <c r="J91" s="161"/>
      <c r="K91" s="163">
        <f>IF(A91&gt;$B$15,IF(I91&gt;Helper_calcs!$B$15,23,3),0)</f>
        <v>0</v>
      </c>
      <c r="L91" s="162">
        <f t="shared" si="10"/>
        <v>0</v>
      </c>
      <c r="M91" s="162">
        <f t="shared" si="13"/>
        <v>0</v>
      </c>
      <c r="N91" s="161">
        <f t="shared" si="14"/>
        <v>1.5000000000000004</v>
      </c>
      <c r="O91" s="161">
        <f t="shared" si="15"/>
        <v>5</v>
      </c>
      <c r="P91" s="149">
        <f>IF(OR(M91=0,M91=3),loop_gain!$B$18,IF(Current_limit!M91=1,Current_limit!$B$12/(2*(Current_limit!N91-Helper_calcs!$B$15)),IF(OR(M91=2,M91=23),(Main!$B$18-Current_limit!O91)*Current_limit!O91/(Main!$B$18*loop_gain!$B$17*(Helper_calcs!$B$14-Helper_calcs!$B$15)),x)))</f>
        <v>2100000</v>
      </c>
      <c r="Q91" s="161"/>
    </row>
    <row r="92" spans="1:17" x14ac:dyDescent="0.25">
      <c r="A92">
        <f t="shared" si="8"/>
        <v>1.5100000000000005</v>
      </c>
      <c r="B92">
        <f>Main!$B$19/A92</f>
        <v>3.3112582781456945</v>
      </c>
      <c r="D92" s="161">
        <f t="shared" si="9"/>
        <v>3.3112582781456945</v>
      </c>
      <c r="E92" s="161">
        <f>-B92*Main!$B$18-2*Main!$B$18*loop_gain!$B$17*loop_gain!$B$18</f>
        <v>-206.05509933774835</v>
      </c>
      <c r="F92" s="161">
        <f>2*Main!$B$18*loop_gain!$B$17*loop_gain!$B$18*Helper_calcs!$B$14*Current_limit!B92</f>
        <v>2147.8410596026483</v>
      </c>
      <c r="G92" s="161">
        <f t="shared" si="11"/>
        <v>13.241074378054323</v>
      </c>
      <c r="H92" s="161">
        <f>(Main!$B$18-Current_limit!G92)*Current_limit!G92/(Main!$B$18*loop_gain!$B$17*loop_gain!$B$18)</f>
        <v>-0.19760892434481486</v>
      </c>
      <c r="I92" s="161">
        <f t="shared" si="12"/>
        <v>4.0976089243448142</v>
      </c>
      <c r="J92" s="161"/>
      <c r="K92" s="163">
        <f>IF(A92&gt;$B$15,IF(I92&gt;Helper_calcs!$B$15,23,3),0)</f>
        <v>0</v>
      </c>
      <c r="L92" s="162">
        <f t="shared" si="10"/>
        <v>0</v>
      </c>
      <c r="M92" s="162">
        <f t="shared" si="13"/>
        <v>0</v>
      </c>
      <c r="N92" s="161">
        <f t="shared" si="14"/>
        <v>1.5100000000000005</v>
      </c>
      <c r="O92" s="161">
        <f t="shared" si="15"/>
        <v>5</v>
      </c>
      <c r="P92" s="149">
        <f>IF(OR(M92=0,M92=3),loop_gain!$B$18,IF(Current_limit!M92=1,Current_limit!$B$12/(2*(Current_limit!N92-Helper_calcs!$B$15)),IF(OR(M92=2,M92=23),(Main!$B$18-Current_limit!O92)*Current_limit!O92/(Main!$B$18*loop_gain!$B$17*(Helper_calcs!$B$14-Helper_calcs!$B$15)),x)))</f>
        <v>2100000</v>
      </c>
      <c r="Q92" s="161"/>
    </row>
    <row r="93" spans="1:17" x14ac:dyDescent="0.25">
      <c r="A93">
        <f t="shared" si="8"/>
        <v>1.5200000000000005</v>
      </c>
      <c r="B93">
        <f>Main!$B$19/A93</f>
        <v>3.2894736842105252</v>
      </c>
      <c r="D93" s="161">
        <f t="shared" si="9"/>
        <v>3.2894736842105252</v>
      </c>
      <c r="E93" s="161">
        <f>-B93*Main!$B$18-2*Main!$B$18*loop_gain!$B$17*loop_gain!$B$18</f>
        <v>-205.79368421052629</v>
      </c>
      <c r="F93" s="161">
        <f>2*Main!$B$18*loop_gain!$B$17*loop_gain!$B$18*Helper_calcs!$B$14*Current_limit!B93</f>
        <v>2133.7105263157887</v>
      </c>
      <c r="G93" s="161">
        <f t="shared" si="11"/>
        <v>13.119405493238071</v>
      </c>
      <c r="H93" s="161">
        <f>(Main!$B$18-Current_limit!G93)*Current_limit!G93/(Main!$B$18*loop_gain!$B$17*loop_gain!$B$18)</f>
        <v>-0.17659853988874971</v>
      </c>
      <c r="I93" s="161">
        <f t="shared" si="12"/>
        <v>4.0765985398887494</v>
      </c>
      <c r="J93" s="161"/>
      <c r="K93" s="163">
        <f>IF(A93&gt;$B$15,IF(I93&gt;Helper_calcs!$B$15,23,3),0)</f>
        <v>0</v>
      </c>
      <c r="L93" s="162">
        <f t="shared" si="10"/>
        <v>0</v>
      </c>
      <c r="M93" s="162">
        <f t="shared" si="13"/>
        <v>0</v>
      </c>
      <c r="N93" s="161">
        <f t="shared" si="14"/>
        <v>1.5200000000000005</v>
      </c>
      <c r="O93" s="161">
        <f t="shared" si="15"/>
        <v>5</v>
      </c>
      <c r="P93" s="149">
        <f>IF(OR(M93=0,M93=3),loop_gain!$B$18,IF(Current_limit!M93=1,Current_limit!$B$12/(2*(Current_limit!N93-Helper_calcs!$B$15)),IF(OR(M93=2,M93=23),(Main!$B$18-Current_limit!O93)*Current_limit!O93/(Main!$B$18*loop_gain!$B$17*(Helper_calcs!$B$14-Helper_calcs!$B$15)),x)))</f>
        <v>2100000</v>
      </c>
      <c r="Q93" s="161"/>
    </row>
    <row r="94" spans="1:17" x14ac:dyDescent="0.25">
      <c r="A94">
        <f t="shared" si="8"/>
        <v>1.5300000000000005</v>
      </c>
      <c r="B94">
        <f>Main!$B$19/A94</f>
        <v>3.2679738562091494</v>
      </c>
      <c r="D94" s="161">
        <f t="shared" si="9"/>
        <v>3.2679738562091494</v>
      </c>
      <c r="E94" s="161">
        <f>-B94*Main!$B$18-2*Main!$B$18*loop_gain!$B$17*loop_gain!$B$18</f>
        <v>-205.53568627450977</v>
      </c>
      <c r="F94" s="161">
        <f>2*Main!$B$18*loop_gain!$B$17*loop_gain!$B$18*Helper_calcs!$B$14*Current_limit!B94</f>
        <v>2119.7647058823522</v>
      </c>
      <c r="G94" s="161">
        <f t="shared" si="11"/>
        <v>13.000732926649739</v>
      </c>
      <c r="H94" s="161">
        <f>(Main!$B$18-Current_limit!G94)*Current_limit!G94/(Main!$B$18*loop_gain!$B$17*loop_gain!$B$18)</f>
        <v>-0.15644855110964195</v>
      </c>
      <c r="I94" s="161">
        <f t="shared" si="12"/>
        <v>4.0564485511096429</v>
      </c>
      <c r="J94" s="161"/>
      <c r="K94" s="163">
        <f>IF(A94&gt;$B$15,IF(I94&gt;Helper_calcs!$B$15,23,3),0)</f>
        <v>0</v>
      </c>
      <c r="L94" s="162">
        <f t="shared" si="10"/>
        <v>0</v>
      </c>
      <c r="M94" s="162">
        <f t="shared" si="13"/>
        <v>0</v>
      </c>
      <c r="N94" s="161">
        <f t="shared" si="14"/>
        <v>1.5300000000000005</v>
      </c>
      <c r="O94" s="161">
        <f t="shared" si="15"/>
        <v>5</v>
      </c>
      <c r="P94" s="149">
        <f>IF(OR(M94=0,M94=3),loop_gain!$B$18,IF(Current_limit!M94=1,Current_limit!$B$12/(2*(Current_limit!N94-Helper_calcs!$B$15)),IF(OR(M94=2,M94=23),(Main!$B$18-Current_limit!O94)*Current_limit!O94/(Main!$B$18*loop_gain!$B$17*(Helper_calcs!$B$14-Helper_calcs!$B$15)),x)))</f>
        <v>2100000</v>
      </c>
      <c r="Q94" s="161"/>
    </row>
    <row r="95" spans="1:17" x14ac:dyDescent="0.25">
      <c r="A95">
        <f t="shared" si="8"/>
        <v>1.5400000000000005</v>
      </c>
      <c r="B95">
        <f>Main!$B$19/A95</f>
        <v>3.2467532467532458</v>
      </c>
      <c r="D95" s="161">
        <f t="shared" si="9"/>
        <v>3.2467532467532458</v>
      </c>
      <c r="E95" s="161">
        <f>-B95*Main!$B$18-2*Main!$B$18*loop_gain!$B$17*loop_gain!$B$18</f>
        <v>-205.28103896103894</v>
      </c>
      <c r="F95" s="161">
        <f>2*Main!$B$18*loop_gain!$B$17*loop_gain!$B$18*Helper_calcs!$B$14*Current_limit!B95</f>
        <v>2105.9999999999991</v>
      </c>
      <c r="G95" s="161">
        <f t="shared" si="11"/>
        <v>12.884919891373292</v>
      </c>
      <c r="H95" s="161">
        <f>(Main!$B$18-Current_limit!G95)*Current_limit!G95/(Main!$B$18*loop_gain!$B$17*loop_gain!$B$18)</f>
        <v>-0.13711065308595019</v>
      </c>
      <c r="I95" s="161">
        <f t="shared" si="12"/>
        <v>4.03711065308595</v>
      </c>
      <c r="J95" s="161"/>
      <c r="K95" s="163">
        <f>IF(A95&gt;$B$15,IF(I95&gt;Helper_calcs!$B$15,23,3),0)</f>
        <v>0</v>
      </c>
      <c r="L95" s="162">
        <f t="shared" si="10"/>
        <v>0</v>
      </c>
      <c r="M95" s="162">
        <f t="shared" si="13"/>
        <v>0</v>
      </c>
      <c r="N95" s="161">
        <f t="shared" si="14"/>
        <v>1.5400000000000005</v>
      </c>
      <c r="O95" s="161">
        <f t="shared" si="15"/>
        <v>5</v>
      </c>
      <c r="P95" s="149">
        <f>IF(OR(M95=0,M95=3),loop_gain!$B$18,IF(Current_limit!M95=1,Current_limit!$B$12/(2*(Current_limit!N95-Helper_calcs!$B$15)),IF(OR(M95=2,M95=23),(Main!$B$18-Current_limit!O95)*Current_limit!O95/(Main!$B$18*loop_gain!$B$17*(Helper_calcs!$B$14-Helper_calcs!$B$15)),x)))</f>
        <v>2100000</v>
      </c>
      <c r="Q95" s="161"/>
    </row>
    <row r="96" spans="1:17" x14ac:dyDescent="0.25">
      <c r="A96">
        <f t="shared" si="8"/>
        <v>1.5500000000000005</v>
      </c>
      <c r="B96">
        <f>Main!$B$19/A96</f>
        <v>3.2258064516129021</v>
      </c>
      <c r="D96" s="161">
        <f t="shared" si="9"/>
        <v>3.2258064516129021</v>
      </c>
      <c r="E96" s="161">
        <f>-B96*Main!$B$18-2*Main!$B$18*loop_gain!$B$17*loop_gain!$B$18</f>
        <v>-205.02967741935481</v>
      </c>
      <c r="F96" s="161">
        <f>2*Main!$B$18*loop_gain!$B$17*loop_gain!$B$18*Helper_calcs!$B$14*Current_limit!B96</f>
        <v>2092.4129032258056</v>
      </c>
      <c r="G96" s="161">
        <f t="shared" si="11"/>
        <v>12.771839054533533</v>
      </c>
      <c r="H96" s="161">
        <f>(Main!$B$18-Current_limit!G96)*Current_limit!G96/(Main!$B$18*loop_gain!$B$17*loop_gain!$B$18)</f>
        <v>-0.11854021381079387</v>
      </c>
      <c r="I96" s="161">
        <f t="shared" si="12"/>
        <v>4.0185402138107937</v>
      </c>
      <c r="J96" s="161"/>
      <c r="K96" s="163">
        <f>IF(A96&gt;$B$15,IF(I96&gt;Helper_calcs!$B$15,23,3),0)</f>
        <v>0</v>
      </c>
      <c r="L96" s="162">
        <f t="shared" si="10"/>
        <v>0</v>
      </c>
      <c r="M96" s="162">
        <f t="shared" si="13"/>
        <v>0</v>
      </c>
      <c r="N96" s="161">
        <f t="shared" si="14"/>
        <v>1.5500000000000005</v>
      </c>
      <c r="O96" s="161">
        <f t="shared" si="15"/>
        <v>5</v>
      </c>
      <c r="P96" s="149">
        <f>IF(OR(M96=0,M96=3),loop_gain!$B$18,IF(Current_limit!M96=1,Current_limit!$B$12/(2*(Current_limit!N96-Helper_calcs!$B$15)),IF(OR(M96=2,M96=23),(Main!$B$18-Current_limit!O96)*Current_limit!O96/(Main!$B$18*loop_gain!$B$17*(Helper_calcs!$B$14-Helper_calcs!$B$15)),x)))</f>
        <v>2100000</v>
      </c>
      <c r="Q96" s="161"/>
    </row>
    <row r="97" spans="1:17" x14ac:dyDescent="0.25">
      <c r="A97">
        <f t="shared" ref="A97:A160" si="16">A96+0.01</f>
        <v>1.5600000000000005</v>
      </c>
      <c r="B97">
        <f>Main!$B$19/A97</f>
        <v>3.205128205128204</v>
      </c>
      <c r="D97" s="161">
        <f t="shared" si="9"/>
        <v>3.205128205128204</v>
      </c>
      <c r="E97" s="161">
        <f>-B97*Main!$B$18-2*Main!$B$18*loop_gain!$B$17*loop_gain!$B$18</f>
        <v>-204.78153846153845</v>
      </c>
      <c r="F97" s="161">
        <f>2*Main!$B$18*loop_gain!$B$17*loop_gain!$B$18*Helper_calcs!$B$14*Current_limit!B97</f>
        <v>2078.9999999999991</v>
      </c>
      <c r="G97" s="161">
        <f t="shared" si="11"/>
        <v>12.661371660814032</v>
      </c>
      <c r="H97" s="161">
        <f>(Main!$B$18-Current_limit!G97)*Current_limit!G97/(Main!$B$18*loop_gain!$B$17*loop_gain!$B$18)</f>
        <v>-0.10069591634795927</v>
      </c>
      <c r="I97" s="161">
        <f t="shared" si="12"/>
        <v>4.0006959163479596</v>
      </c>
      <c r="J97" s="161"/>
      <c r="K97" s="163">
        <f>IF(A97&gt;$B$15,IF(I97&gt;Helper_calcs!$B$15,23,3),0)</f>
        <v>0</v>
      </c>
      <c r="L97" s="162">
        <f t="shared" si="10"/>
        <v>0</v>
      </c>
      <c r="M97" s="162">
        <f t="shared" si="13"/>
        <v>0</v>
      </c>
      <c r="N97" s="161">
        <f t="shared" si="14"/>
        <v>1.5600000000000005</v>
      </c>
      <c r="O97" s="161">
        <f t="shared" si="15"/>
        <v>5</v>
      </c>
      <c r="P97" s="149">
        <f>IF(OR(M97=0,M97=3),loop_gain!$B$18,IF(Current_limit!M97=1,Current_limit!$B$12/(2*(Current_limit!N97-Helper_calcs!$B$15)),IF(OR(M97=2,M97=23),(Main!$B$18-Current_limit!O97)*Current_limit!O97/(Main!$B$18*loop_gain!$B$17*(Helper_calcs!$B$14-Helper_calcs!$B$15)),x)))</f>
        <v>2100000</v>
      </c>
      <c r="Q97" s="161"/>
    </row>
    <row r="98" spans="1:17" x14ac:dyDescent="0.25">
      <c r="A98">
        <f t="shared" si="16"/>
        <v>1.5700000000000005</v>
      </c>
      <c r="B98">
        <f>Main!$B$19/A98</f>
        <v>3.1847133757961772</v>
      </c>
      <c r="D98" s="161">
        <f t="shared" si="9"/>
        <v>3.1847133757961772</v>
      </c>
      <c r="E98" s="161">
        <f>-B98*Main!$B$18-2*Main!$B$18*loop_gain!$B$17*loop_gain!$B$18</f>
        <v>-204.53656050955414</v>
      </c>
      <c r="F98" s="161">
        <f>2*Main!$B$18*loop_gain!$B$17*loop_gain!$B$18*Helper_calcs!$B$14*Current_limit!B98</f>
        <v>2065.7579617834385</v>
      </c>
      <c r="G98" s="161">
        <f t="shared" si="11"/>
        <v>12.553406757252612</v>
      </c>
      <c r="H98" s="161">
        <f>(Main!$B$18-Current_limit!G98)*Current_limit!G98/(Main!$B$18*loop_gain!$B$17*loop_gain!$B$18)</f>
        <v>-8.3539443554643933E-2</v>
      </c>
      <c r="I98" s="161">
        <f t="shared" si="12"/>
        <v>3.9835394435546432</v>
      </c>
      <c r="J98" s="161"/>
      <c r="K98" s="163">
        <f>IF(A98&gt;$B$15,IF(I98&gt;Helper_calcs!$B$15,23,3),0)</f>
        <v>0</v>
      </c>
      <c r="L98" s="162">
        <f t="shared" si="10"/>
        <v>0</v>
      </c>
      <c r="M98" s="162">
        <f t="shared" si="13"/>
        <v>0</v>
      </c>
      <c r="N98" s="161">
        <f t="shared" si="14"/>
        <v>1.5700000000000005</v>
      </c>
      <c r="O98" s="161">
        <f t="shared" si="15"/>
        <v>5</v>
      </c>
      <c r="P98" s="149">
        <f>IF(OR(M98=0,M98=3),loop_gain!$B$18,IF(Current_limit!M98=1,Current_limit!$B$12/(2*(Current_limit!N98-Helper_calcs!$B$15)),IF(OR(M98=2,M98=23),(Main!$B$18-Current_limit!O98)*Current_limit!O98/(Main!$B$18*loop_gain!$B$17*(Helper_calcs!$B$14-Helper_calcs!$B$15)),x)))</f>
        <v>2100000</v>
      </c>
      <c r="Q98" s="161"/>
    </row>
    <row r="99" spans="1:17" x14ac:dyDescent="0.25">
      <c r="A99">
        <f t="shared" si="16"/>
        <v>1.5800000000000005</v>
      </c>
      <c r="B99">
        <f>Main!$B$19/A99</f>
        <v>3.1645569620253156</v>
      </c>
      <c r="D99" s="161">
        <f t="shared" si="9"/>
        <v>3.1645569620253156</v>
      </c>
      <c r="E99" s="161">
        <f>-B99*Main!$B$18-2*Main!$B$18*loop_gain!$B$17*loop_gain!$B$18</f>
        <v>-204.29468354430378</v>
      </c>
      <c r="F99" s="161">
        <f>2*Main!$B$18*loop_gain!$B$17*loop_gain!$B$18*Helper_calcs!$B$14*Current_limit!B99</f>
        <v>2052.6835443037967</v>
      </c>
      <c r="G99" s="161">
        <f t="shared" si="11"/>
        <v>12.447840505397687</v>
      </c>
      <c r="H99" s="161">
        <f>(Main!$B$18-Current_limit!G99)*Current_limit!G99/(Main!$B$18*loop_gain!$B$17*loop_gain!$B$18)</f>
        <v>-6.7035199411340868E-2</v>
      </c>
      <c r="I99" s="161">
        <f t="shared" si="12"/>
        <v>3.9670351994113404</v>
      </c>
      <c r="J99" s="161"/>
      <c r="K99" s="163">
        <f>IF(A99&gt;$B$15,IF(I99&gt;Helper_calcs!$B$15,23,3),0)</f>
        <v>0</v>
      </c>
      <c r="L99" s="162">
        <f t="shared" si="10"/>
        <v>0</v>
      </c>
      <c r="M99" s="162">
        <f t="shared" si="13"/>
        <v>0</v>
      </c>
      <c r="N99" s="161">
        <f t="shared" si="14"/>
        <v>1.5800000000000005</v>
      </c>
      <c r="O99" s="161">
        <f t="shared" si="15"/>
        <v>5</v>
      </c>
      <c r="P99" s="149">
        <f>IF(OR(M99=0,M99=3),loop_gain!$B$18,IF(Current_limit!M99=1,Current_limit!$B$12/(2*(Current_limit!N99-Helper_calcs!$B$15)),IF(OR(M99=2,M99=23),(Main!$B$18-Current_limit!O99)*Current_limit!O99/(Main!$B$18*loop_gain!$B$17*(Helper_calcs!$B$14-Helper_calcs!$B$15)),x)))</f>
        <v>2100000</v>
      </c>
      <c r="Q99" s="161"/>
    </row>
    <row r="100" spans="1:17" x14ac:dyDescent="0.25">
      <c r="A100">
        <f t="shared" si="16"/>
        <v>1.5900000000000005</v>
      </c>
      <c r="B100">
        <f>Main!$B$19/A100</f>
        <v>3.1446540880503133</v>
      </c>
      <c r="D100" s="161">
        <f t="shared" si="9"/>
        <v>3.1446540880503133</v>
      </c>
      <c r="E100" s="161">
        <f>-B100*Main!$B$18-2*Main!$B$18*loop_gain!$B$17*loop_gain!$B$18</f>
        <v>-204.05584905660376</v>
      </c>
      <c r="F100" s="161">
        <f>2*Main!$B$18*loop_gain!$B$17*loop_gain!$B$18*Helper_calcs!$B$14*Current_limit!B100</f>
        <v>2039.7735849056594</v>
      </c>
      <c r="G100" s="161">
        <f t="shared" si="11"/>
        <v>12.34457556911139</v>
      </c>
      <c r="H100" s="161">
        <f>(Main!$B$18-Current_limit!G100)*Current_limit!G100/(Main!$B$18*loop_gain!$B$17*loop_gain!$B$18)</f>
        <v>-5.1150061954847482E-2</v>
      </c>
      <c r="I100" s="161">
        <f t="shared" si="12"/>
        <v>3.9511500619548472</v>
      </c>
      <c r="J100" s="161"/>
      <c r="K100" s="163">
        <f>IF(A100&gt;$B$15,IF(I100&gt;Helper_calcs!$B$15,23,3),0)</f>
        <v>0</v>
      </c>
      <c r="L100" s="162">
        <f t="shared" si="10"/>
        <v>0</v>
      </c>
      <c r="M100" s="162">
        <f t="shared" si="13"/>
        <v>0</v>
      </c>
      <c r="N100" s="161">
        <f t="shared" si="14"/>
        <v>1.5900000000000005</v>
      </c>
      <c r="O100" s="161">
        <f t="shared" si="15"/>
        <v>5</v>
      </c>
      <c r="P100" s="149">
        <f>IF(OR(M100=0,M100=3),loop_gain!$B$18,IF(Current_limit!M100=1,Current_limit!$B$12/(2*(Current_limit!N100-Helper_calcs!$B$15)),IF(OR(M100=2,M100=23),(Main!$B$18-Current_limit!O100)*Current_limit!O100/(Main!$B$18*loop_gain!$B$17*(Helper_calcs!$B$14-Helper_calcs!$B$15)),x)))</f>
        <v>2100000</v>
      </c>
      <c r="Q100" s="161"/>
    </row>
    <row r="101" spans="1:17" x14ac:dyDescent="0.25">
      <c r="A101">
        <f t="shared" si="16"/>
        <v>1.6000000000000005</v>
      </c>
      <c r="B101">
        <f>Main!$B$19/A101</f>
        <v>3.1249999999999991</v>
      </c>
      <c r="D101" s="161">
        <f t="shared" si="9"/>
        <v>3.1249999999999991</v>
      </c>
      <c r="E101" s="161">
        <f>-B101*Main!$B$18-2*Main!$B$18*loop_gain!$B$17*loop_gain!$B$18</f>
        <v>-203.82</v>
      </c>
      <c r="F101" s="161">
        <f>2*Main!$B$18*loop_gain!$B$17*loop_gain!$B$18*Helper_calcs!$B$14*Current_limit!B101</f>
        <v>2027.0249999999992</v>
      </c>
      <c r="G101" s="161">
        <f t="shared" si="11"/>
        <v>12.243520568115763</v>
      </c>
      <c r="H101" s="161">
        <f>(Main!$B$18-Current_limit!G101)*Current_limit!G101/(Main!$B$18*loop_gain!$B$17*loop_gain!$B$18)</f>
        <v>-3.585316359409061E-2</v>
      </c>
      <c r="I101" s="161">
        <f t="shared" si="12"/>
        <v>3.9358531635940905</v>
      </c>
      <c r="J101" s="161"/>
      <c r="K101" s="163">
        <f>IF(A101&gt;$B$15,IF(I101&gt;Helper_calcs!$B$15,23,3),0)</f>
        <v>0</v>
      </c>
      <c r="L101" s="162">
        <f t="shared" si="10"/>
        <v>0</v>
      </c>
      <c r="M101" s="162">
        <f t="shared" si="13"/>
        <v>0</v>
      </c>
      <c r="N101" s="161">
        <f t="shared" si="14"/>
        <v>1.6000000000000005</v>
      </c>
      <c r="O101" s="161">
        <f t="shared" si="15"/>
        <v>5</v>
      </c>
      <c r="P101" s="149">
        <f>IF(OR(M101=0,M101=3),loop_gain!$B$18,IF(Current_limit!M101=1,Current_limit!$B$12/(2*(Current_limit!N101-Helper_calcs!$B$15)),IF(OR(M101=2,M101=23),(Main!$B$18-Current_limit!O101)*Current_limit!O101/(Main!$B$18*loop_gain!$B$17*(Helper_calcs!$B$14-Helper_calcs!$B$15)),x)))</f>
        <v>2100000</v>
      </c>
      <c r="Q101" s="161"/>
    </row>
    <row r="102" spans="1:17" x14ac:dyDescent="0.25">
      <c r="A102">
        <f t="shared" si="16"/>
        <v>1.6100000000000005</v>
      </c>
      <c r="B102">
        <f>Main!$B$19/A102</f>
        <v>3.1055900621118</v>
      </c>
      <c r="D102" s="161">
        <f t="shared" si="9"/>
        <v>3.1055900621118</v>
      </c>
      <c r="E102" s="161">
        <f>-B102*Main!$B$18-2*Main!$B$18*loop_gain!$B$17*loop_gain!$B$18</f>
        <v>-203.58708074534161</v>
      </c>
      <c r="F102" s="161">
        <f>2*Main!$B$18*loop_gain!$B$17*loop_gain!$B$18*Helper_calcs!$B$14*Current_limit!B102</f>
        <v>2014.4347826086946</v>
      </c>
      <c r="G102" s="161">
        <f t="shared" si="11"/>
        <v>12.144589588873215</v>
      </c>
      <c r="H102" s="161">
        <f>(Main!$B$18-Current_limit!G102)*Current_limit!G102/(Main!$B$18*loop_gain!$B$17*loop_gain!$B$18)</f>
        <v>-2.1115695234356718E-2</v>
      </c>
      <c r="I102" s="161">
        <f t="shared" si="12"/>
        <v>3.9211156952343549</v>
      </c>
      <c r="J102" s="161"/>
      <c r="K102" s="163">
        <f>IF(A102&gt;$B$15,IF(I102&gt;Helper_calcs!$B$15,23,3),0)</f>
        <v>0</v>
      </c>
      <c r="L102" s="162">
        <f t="shared" si="10"/>
        <v>0</v>
      </c>
      <c r="M102" s="162">
        <f t="shared" si="13"/>
        <v>0</v>
      </c>
      <c r="N102" s="161">
        <f t="shared" si="14"/>
        <v>1.6100000000000005</v>
      </c>
      <c r="O102" s="161">
        <f t="shared" si="15"/>
        <v>5</v>
      </c>
      <c r="P102" s="149">
        <f>IF(OR(M102=0,M102=3),loop_gain!$B$18,IF(Current_limit!M102=1,Current_limit!$B$12/(2*(Current_limit!N102-Helper_calcs!$B$15)),IF(OR(M102=2,M102=23),(Main!$B$18-Current_limit!O102)*Current_limit!O102/(Main!$B$18*loop_gain!$B$17*(Helper_calcs!$B$14-Helper_calcs!$B$15)),x)))</f>
        <v>2100000</v>
      </c>
      <c r="Q102" s="161"/>
    </row>
    <row r="103" spans="1:17" x14ac:dyDescent="0.25">
      <c r="A103">
        <f t="shared" si="16"/>
        <v>1.6200000000000006</v>
      </c>
      <c r="B103">
        <f>Main!$B$19/A103</f>
        <v>3.0864197530864188</v>
      </c>
      <c r="D103" s="161">
        <f t="shared" si="9"/>
        <v>3.0864197530864188</v>
      </c>
      <c r="E103" s="161">
        <f>-B103*Main!$B$18-2*Main!$B$18*loop_gain!$B$17*loop_gain!$B$18</f>
        <v>-203.357037037037</v>
      </c>
      <c r="F103" s="161">
        <f>2*Main!$B$18*loop_gain!$B$17*loop_gain!$B$18*Helper_calcs!$B$14*Current_limit!B103</f>
        <v>2001.9999999999991</v>
      </c>
      <c r="G103" s="161">
        <f t="shared" si="11"/>
        <v>12.047701745633471</v>
      </c>
      <c r="H103" s="161">
        <f>(Main!$B$18-Current_limit!G103)*Current_limit!G103/(Main!$B$18*loop_gain!$B$17*loop_gain!$B$18)</f>
        <v>-6.9107311704922712E-3</v>
      </c>
      <c r="I103" s="161">
        <f t="shared" si="12"/>
        <v>3.906910731170492</v>
      </c>
      <c r="J103" s="161"/>
      <c r="K103" s="163">
        <f>IF(A103&gt;$B$15,IF(I103&gt;Helper_calcs!$B$15,23,3),0)</f>
        <v>0</v>
      </c>
      <c r="L103" s="162">
        <f t="shared" si="10"/>
        <v>0</v>
      </c>
      <c r="M103" s="162">
        <f t="shared" si="13"/>
        <v>0</v>
      </c>
      <c r="N103" s="161">
        <f t="shared" si="14"/>
        <v>1.6200000000000006</v>
      </c>
      <c r="O103" s="161">
        <f t="shared" si="15"/>
        <v>5</v>
      </c>
      <c r="P103" s="149">
        <f>IF(OR(M103=0,M103=3),loop_gain!$B$18,IF(Current_limit!M103=1,Current_limit!$B$12/(2*(Current_limit!N103-Helper_calcs!$B$15)),IF(OR(M103=2,M103=23),(Main!$B$18-Current_limit!O103)*Current_limit!O103/(Main!$B$18*loop_gain!$B$17*(Helper_calcs!$B$14-Helper_calcs!$B$15)),x)))</f>
        <v>2100000</v>
      </c>
      <c r="Q103" s="161"/>
    </row>
    <row r="104" spans="1:17" x14ac:dyDescent="0.25">
      <c r="A104">
        <f t="shared" si="16"/>
        <v>1.6300000000000006</v>
      </c>
      <c r="B104">
        <f>Main!$B$19/A104</f>
        <v>3.0674846625766863</v>
      </c>
      <c r="D104" s="161">
        <f t="shared" si="9"/>
        <v>3.0674846625766863</v>
      </c>
      <c r="E104" s="161">
        <f>-B104*Main!$B$18-2*Main!$B$18*loop_gain!$B$17*loop_gain!$B$18</f>
        <v>-203.12981595092023</v>
      </c>
      <c r="F104" s="161">
        <f>2*Main!$B$18*loop_gain!$B$17*loop_gain!$B$18*Helper_calcs!$B$14*Current_limit!B104</f>
        <v>1989.7177914110421</v>
      </c>
      <c r="G104" s="161">
        <f t="shared" si="11"/>
        <v>11.95278078551315</v>
      </c>
      <c r="H104" s="161">
        <f>(Main!$B$18-Current_limit!G104)*Current_limit!G104/(Main!$B$18*loop_gain!$B$17*loop_gain!$B$18)</f>
        <v>6.7869278454237821E-3</v>
      </c>
      <c r="I104" s="161">
        <f t="shared" si="12"/>
        <v>3.8932130721545763</v>
      </c>
      <c r="J104" s="161"/>
      <c r="K104" s="163">
        <f>IF(A104&gt;$B$15,IF(I104&gt;Helper_calcs!$B$15,23,3),0)</f>
        <v>0</v>
      </c>
      <c r="L104" s="162">
        <f t="shared" si="10"/>
        <v>0</v>
      </c>
      <c r="M104" s="162">
        <f t="shared" si="13"/>
        <v>0</v>
      </c>
      <c r="N104" s="161">
        <f t="shared" si="14"/>
        <v>1.6300000000000006</v>
      </c>
      <c r="O104" s="161">
        <f t="shared" si="15"/>
        <v>5</v>
      </c>
      <c r="P104" s="149">
        <f>IF(OR(M104=0,M104=3),loop_gain!$B$18,IF(Current_limit!M104=1,Current_limit!$B$12/(2*(Current_limit!N104-Helper_calcs!$B$15)),IF(OR(M104=2,M104=23),(Main!$B$18-Current_limit!O104)*Current_limit!O104/(Main!$B$18*loop_gain!$B$17*(Helper_calcs!$B$14-Helper_calcs!$B$15)),x)))</f>
        <v>2100000</v>
      </c>
      <c r="Q104" s="161"/>
    </row>
    <row r="105" spans="1:17" x14ac:dyDescent="0.25">
      <c r="A105">
        <f t="shared" si="16"/>
        <v>1.6400000000000006</v>
      </c>
      <c r="B105">
        <f>Main!$B$19/A105</f>
        <v>3.0487804878048772</v>
      </c>
      <c r="D105" s="161">
        <f t="shared" si="9"/>
        <v>3.0487804878048772</v>
      </c>
      <c r="E105" s="161">
        <f>-B105*Main!$B$18-2*Main!$B$18*loop_gain!$B$17*loop_gain!$B$18</f>
        <v>-202.90536585365851</v>
      </c>
      <c r="F105" s="161">
        <f>2*Main!$B$18*loop_gain!$B$17*loop_gain!$B$18*Helper_calcs!$B$14*Current_limit!B105</f>
        <v>1977.5853658536578</v>
      </c>
      <c r="G105" s="161">
        <f t="shared" si="11"/>
        <v>11.859754732340612</v>
      </c>
      <c r="H105" s="161">
        <f>(Main!$B$18-Current_limit!G105)*Current_limit!G105/(Main!$B$18*loop_gain!$B$17*loop_gain!$B$18)</f>
        <v>2.0000895584557535E-2</v>
      </c>
      <c r="I105" s="161">
        <f t="shared" si="12"/>
        <v>3.8799991044154432</v>
      </c>
      <c r="J105" s="161"/>
      <c r="K105" s="163">
        <f>IF(A105&gt;$B$15,IF(I105&gt;Helper_calcs!$B$15,23,3),0)</f>
        <v>0</v>
      </c>
      <c r="L105" s="162">
        <f t="shared" si="10"/>
        <v>0</v>
      </c>
      <c r="M105" s="162">
        <f t="shared" si="13"/>
        <v>0</v>
      </c>
      <c r="N105" s="161">
        <f t="shared" si="14"/>
        <v>1.6400000000000006</v>
      </c>
      <c r="O105" s="161">
        <f t="shared" si="15"/>
        <v>5</v>
      </c>
      <c r="P105" s="149">
        <f>IF(OR(M105=0,M105=3),loop_gain!$B$18,IF(Current_limit!M105=1,Current_limit!$B$12/(2*(Current_limit!N105-Helper_calcs!$B$15)),IF(OR(M105=2,M105=23),(Main!$B$18-Current_limit!O105)*Current_limit!O105/(Main!$B$18*loop_gain!$B$17*(Helper_calcs!$B$14-Helper_calcs!$B$15)),x)))</f>
        <v>2100000</v>
      </c>
      <c r="Q105" s="161"/>
    </row>
    <row r="106" spans="1:17" x14ac:dyDescent="0.25">
      <c r="A106">
        <f t="shared" si="16"/>
        <v>1.6500000000000006</v>
      </c>
      <c r="B106">
        <f>Main!$B$19/A106</f>
        <v>3.0303030303030294</v>
      </c>
      <c r="D106" s="161">
        <f t="shared" si="9"/>
        <v>3.0303030303030294</v>
      </c>
      <c r="E106" s="161">
        <f>-B106*Main!$B$18-2*Main!$B$18*loop_gain!$B$17*loop_gain!$B$18</f>
        <v>-202.68363636363634</v>
      </c>
      <c r="F106" s="161">
        <f>2*Main!$B$18*loop_gain!$B$17*loop_gain!$B$18*Helper_calcs!$B$14*Current_limit!B106</f>
        <v>1965.5999999999992</v>
      </c>
      <c r="G106" s="161">
        <f t="shared" si="11"/>
        <v>11.768555564726134</v>
      </c>
      <c r="H106" s="161">
        <f>(Main!$B$18-Current_limit!G106)*Current_limit!G106/(Main!$B$18*loop_gain!$B$17*loop_gain!$B$18)</f>
        <v>3.2753327280749867E-2</v>
      </c>
      <c r="I106" s="161">
        <f t="shared" si="12"/>
        <v>3.8672466727192503</v>
      </c>
      <c r="J106" s="161"/>
      <c r="K106" s="163">
        <f>IF(A106&gt;$B$15,IF(I106&gt;Helper_calcs!$B$15,23,3),0)</f>
        <v>0</v>
      </c>
      <c r="L106" s="162">
        <f t="shared" si="10"/>
        <v>0</v>
      </c>
      <c r="M106" s="162">
        <f t="shared" si="13"/>
        <v>0</v>
      </c>
      <c r="N106" s="161">
        <f t="shared" si="14"/>
        <v>1.6500000000000006</v>
      </c>
      <c r="O106" s="161">
        <f t="shared" si="15"/>
        <v>5</v>
      </c>
      <c r="P106" s="149">
        <f>IF(OR(M106=0,M106=3),loop_gain!$B$18,IF(Current_limit!M106=1,Current_limit!$B$12/(2*(Current_limit!N106-Helper_calcs!$B$15)),IF(OR(M106=2,M106=23),(Main!$B$18-Current_limit!O106)*Current_limit!O106/(Main!$B$18*loop_gain!$B$17*(Helper_calcs!$B$14-Helper_calcs!$B$15)),x)))</f>
        <v>2100000</v>
      </c>
      <c r="Q106" s="161"/>
    </row>
    <row r="107" spans="1:17" x14ac:dyDescent="0.25">
      <c r="A107">
        <f t="shared" si="16"/>
        <v>1.6600000000000006</v>
      </c>
      <c r="B107">
        <f>Main!$B$19/A107</f>
        <v>3.0120481927710832</v>
      </c>
      <c r="D107" s="161">
        <f t="shared" si="9"/>
        <v>3.0120481927710832</v>
      </c>
      <c r="E107" s="161">
        <f>-B107*Main!$B$18-2*Main!$B$18*loop_gain!$B$17*loop_gain!$B$18</f>
        <v>-202.46457831325299</v>
      </c>
      <c r="F107" s="161">
        <f>2*Main!$B$18*loop_gain!$B$17*loop_gain!$B$18*Helper_calcs!$B$14*Current_limit!B107</f>
        <v>1953.7590361445773</v>
      </c>
      <c r="G107" s="161">
        <f t="shared" si="11"/>
        <v>11.679118924432304</v>
      </c>
      <c r="H107" s="161">
        <f>(Main!$B$18-Current_limit!G107)*Current_limit!G107/(Main!$B$18*loop_gain!$B$17*loop_gain!$B$18)</f>
        <v>4.5065034176946503E-2</v>
      </c>
      <c r="I107" s="161">
        <f t="shared" si="12"/>
        <v>3.8549349658230532</v>
      </c>
      <c r="J107" s="161"/>
      <c r="K107" s="163">
        <f>IF(A107&gt;$B$15,IF(I107&gt;Helper_calcs!$B$15,23,3),0)</f>
        <v>0</v>
      </c>
      <c r="L107" s="162">
        <f t="shared" si="10"/>
        <v>0</v>
      </c>
      <c r="M107" s="162">
        <f t="shared" si="13"/>
        <v>0</v>
      </c>
      <c r="N107" s="161">
        <f t="shared" si="14"/>
        <v>1.6600000000000006</v>
      </c>
      <c r="O107" s="161">
        <f t="shared" si="15"/>
        <v>5</v>
      </c>
      <c r="P107" s="149">
        <f>IF(OR(M107=0,M107=3),loop_gain!$B$18,IF(Current_limit!M107=1,Current_limit!$B$12/(2*(Current_limit!N107-Helper_calcs!$B$15)),IF(OR(M107=2,M107=23),(Main!$B$18-Current_limit!O107)*Current_limit!O107/(Main!$B$18*loop_gain!$B$17*(Helper_calcs!$B$14-Helper_calcs!$B$15)),x)))</f>
        <v>2100000</v>
      </c>
      <c r="Q107" s="161"/>
    </row>
    <row r="108" spans="1:17" x14ac:dyDescent="0.25">
      <c r="A108">
        <f t="shared" si="16"/>
        <v>1.6700000000000006</v>
      </c>
      <c r="B108">
        <f>Main!$B$19/A108</f>
        <v>2.9940119760479029</v>
      </c>
      <c r="D108" s="161">
        <f t="shared" si="9"/>
        <v>2.9940119760479029</v>
      </c>
      <c r="E108" s="161">
        <f>-B108*Main!$B$18-2*Main!$B$18*loop_gain!$B$17*loop_gain!$B$18</f>
        <v>-202.24814371257483</v>
      </c>
      <c r="F108" s="161">
        <f>2*Main!$B$18*loop_gain!$B$17*loop_gain!$B$18*Helper_calcs!$B$14*Current_limit!B108</f>
        <v>1942.0598802395198</v>
      </c>
      <c r="G108" s="161">
        <f t="shared" si="11"/>
        <v>11.591383851639746</v>
      </c>
      <c r="H108" s="161">
        <f>(Main!$B$18-Current_limit!G108)*Current_limit!G108/(Main!$B$18*loop_gain!$B$17*loop_gain!$B$18)</f>
        <v>5.6955587104645031E-2</v>
      </c>
      <c r="I108" s="161">
        <f t="shared" si="12"/>
        <v>3.8430444128953543</v>
      </c>
      <c r="J108" s="161"/>
      <c r="K108" s="163">
        <f>IF(A108&gt;$B$15,IF(I108&gt;Helper_calcs!$B$15,23,3),0)</f>
        <v>0</v>
      </c>
      <c r="L108" s="162">
        <f t="shared" si="10"/>
        <v>0</v>
      </c>
      <c r="M108" s="162">
        <f t="shared" si="13"/>
        <v>0</v>
      </c>
      <c r="N108" s="161">
        <f t="shared" si="14"/>
        <v>1.6700000000000006</v>
      </c>
      <c r="O108" s="161">
        <f t="shared" si="15"/>
        <v>5</v>
      </c>
      <c r="P108" s="149">
        <f>IF(OR(M108=0,M108=3),loop_gain!$B$18,IF(Current_limit!M108=1,Current_limit!$B$12/(2*(Current_limit!N108-Helper_calcs!$B$15)),IF(OR(M108=2,M108=23),(Main!$B$18-Current_limit!O108)*Current_limit!O108/(Main!$B$18*loop_gain!$B$17*(Helper_calcs!$B$14-Helper_calcs!$B$15)),x)))</f>
        <v>2100000</v>
      </c>
      <c r="Q108" s="161"/>
    </row>
    <row r="109" spans="1:17" x14ac:dyDescent="0.25">
      <c r="A109">
        <f t="shared" si="16"/>
        <v>1.6800000000000006</v>
      </c>
      <c r="B109">
        <f>Main!$B$19/A109</f>
        <v>2.9761904761904749</v>
      </c>
      <c r="D109" s="161">
        <f t="shared" si="9"/>
        <v>2.9761904761904749</v>
      </c>
      <c r="E109" s="161">
        <f>-B109*Main!$B$18-2*Main!$B$18*loop_gain!$B$17*loop_gain!$B$18</f>
        <v>-202.03428571428569</v>
      </c>
      <c r="F109" s="161">
        <f>2*Main!$B$18*loop_gain!$B$17*loop_gain!$B$18*Helper_calcs!$B$14*Current_limit!B109</f>
        <v>1930.4999999999989</v>
      </c>
      <c r="G109" s="161">
        <f t="shared" si="11"/>
        <v>11.505292544145897</v>
      </c>
      <c r="H109" s="161">
        <f>(Main!$B$18-Current_limit!G109)*Current_limit!G109/(Main!$B$18*loop_gain!$B$17*loop_gain!$B$18)</f>
        <v>6.8443410333953777E-2</v>
      </c>
      <c r="I109" s="161">
        <f t="shared" si="12"/>
        <v>3.8315565896660462</v>
      </c>
      <c r="J109" s="161"/>
      <c r="K109" s="163">
        <f>IF(A109&gt;$B$15,IF(I109&gt;Helper_calcs!$B$15,23,3),0)</f>
        <v>0</v>
      </c>
      <c r="L109" s="162">
        <f t="shared" si="10"/>
        <v>0</v>
      </c>
      <c r="M109" s="162">
        <f t="shared" si="13"/>
        <v>0</v>
      </c>
      <c r="N109" s="161">
        <f t="shared" si="14"/>
        <v>1.6800000000000006</v>
      </c>
      <c r="O109" s="161">
        <f t="shared" si="15"/>
        <v>5</v>
      </c>
      <c r="P109" s="149">
        <f>IF(OR(M109=0,M109=3),loop_gain!$B$18,IF(Current_limit!M109=1,Current_limit!$B$12/(2*(Current_limit!N109-Helper_calcs!$B$15)),IF(OR(M109=2,M109=23),(Main!$B$18-Current_limit!O109)*Current_limit!O109/(Main!$B$18*loop_gain!$B$17*(Helper_calcs!$B$14-Helper_calcs!$B$15)),x)))</f>
        <v>2100000</v>
      </c>
      <c r="Q109" s="161"/>
    </row>
    <row r="110" spans="1:17" x14ac:dyDescent="0.25">
      <c r="A110">
        <f t="shared" si="16"/>
        <v>1.6900000000000006</v>
      </c>
      <c r="B110">
        <f>Main!$B$19/A110</f>
        <v>2.9585798816568039</v>
      </c>
      <c r="D110" s="161">
        <f t="shared" si="9"/>
        <v>2.9585798816568039</v>
      </c>
      <c r="E110" s="161">
        <f>-B110*Main!$B$18-2*Main!$B$18*loop_gain!$B$17*loop_gain!$B$18</f>
        <v>-201.82295857988163</v>
      </c>
      <c r="F110" s="161">
        <f>2*Main!$B$18*loop_gain!$B$17*loop_gain!$B$18*Helper_calcs!$B$14*Current_limit!B110</f>
        <v>1919.0769230769222</v>
      </c>
      <c r="G110" s="161">
        <f t="shared" si="11"/>
        <v>11.420790137912014</v>
      </c>
      <c r="H110" s="161">
        <f>(Main!$B$18-Current_limit!G110)*Current_limit!G110/(Main!$B$18*loop_gain!$B$17*loop_gain!$B$18)</f>
        <v>7.9545866771474794E-2</v>
      </c>
      <c r="I110" s="161">
        <f t="shared" si="12"/>
        <v>3.8204541332285249</v>
      </c>
      <c r="J110" s="161"/>
      <c r="K110" s="163">
        <f>IF(A110&gt;$B$15,IF(I110&gt;Helper_calcs!$B$15,23,3),0)</f>
        <v>0</v>
      </c>
      <c r="L110" s="162">
        <f t="shared" si="10"/>
        <v>0</v>
      </c>
      <c r="M110" s="162">
        <f t="shared" si="13"/>
        <v>0</v>
      </c>
      <c r="N110" s="161">
        <f t="shared" si="14"/>
        <v>1.6900000000000006</v>
      </c>
      <c r="O110" s="161">
        <f t="shared" si="15"/>
        <v>5</v>
      </c>
      <c r="P110" s="149">
        <f>IF(OR(M110=0,M110=3),loop_gain!$B$18,IF(Current_limit!M110=1,Current_limit!$B$12/(2*(Current_limit!N110-Helper_calcs!$B$15)),IF(OR(M110=2,M110=23),(Main!$B$18-Current_limit!O110)*Current_limit!O110/(Main!$B$18*loop_gain!$B$17*(Helper_calcs!$B$14-Helper_calcs!$B$15)),x)))</f>
        <v>2100000</v>
      </c>
      <c r="Q110" s="161"/>
    </row>
    <row r="111" spans="1:17" x14ac:dyDescent="0.25">
      <c r="A111">
        <f t="shared" si="16"/>
        <v>1.7000000000000006</v>
      </c>
      <c r="B111">
        <f>Main!$B$19/A111</f>
        <v>2.9411764705882342</v>
      </c>
      <c r="D111" s="161">
        <f t="shared" si="9"/>
        <v>2.9411764705882342</v>
      </c>
      <c r="E111" s="161">
        <f>-B111*Main!$B$18-2*Main!$B$18*loop_gain!$B$17*loop_gain!$B$18</f>
        <v>-201.61411764705881</v>
      </c>
      <c r="F111" s="161">
        <f>2*Main!$B$18*loop_gain!$B$17*loop_gain!$B$18*Helper_calcs!$B$14*Current_limit!B111</f>
        <v>1907.7882352941167</v>
      </c>
      <c r="G111" s="161">
        <f t="shared" si="11"/>
        <v>11.337824506696728</v>
      </c>
      <c r="H111" s="161">
        <f>(Main!$B$18-Current_limit!G111)*Current_limit!G111/(Main!$B$18*loop_gain!$B$17*loop_gain!$B$18)</f>
        <v>9.0279335446222075E-2</v>
      </c>
      <c r="I111" s="161">
        <f t="shared" si="12"/>
        <v>3.8097206645537782</v>
      </c>
      <c r="J111" s="161"/>
      <c r="K111" s="163">
        <f>IF(A111&gt;$B$15,IF(I111&gt;Helper_calcs!$B$15,23,3),0)</f>
        <v>0</v>
      </c>
      <c r="L111" s="162">
        <f t="shared" si="10"/>
        <v>0</v>
      </c>
      <c r="M111" s="162">
        <f t="shared" si="13"/>
        <v>0</v>
      </c>
      <c r="N111" s="161">
        <f t="shared" si="14"/>
        <v>1.7000000000000006</v>
      </c>
      <c r="O111" s="161">
        <f t="shared" si="15"/>
        <v>5</v>
      </c>
      <c r="P111" s="149">
        <f>IF(OR(M111=0,M111=3),loop_gain!$B$18,IF(Current_limit!M111=1,Current_limit!$B$12/(2*(Current_limit!N111-Helper_calcs!$B$15)),IF(OR(M111=2,M111=23),(Main!$B$18-Current_limit!O111)*Current_limit!O111/(Main!$B$18*loop_gain!$B$17*(Helper_calcs!$B$14-Helper_calcs!$B$15)),x)))</f>
        <v>2100000</v>
      </c>
      <c r="Q111" s="161"/>
    </row>
    <row r="112" spans="1:17" x14ac:dyDescent="0.25">
      <c r="A112">
        <f t="shared" si="16"/>
        <v>1.7100000000000006</v>
      </c>
      <c r="B112">
        <f>Main!$B$19/A112</f>
        <v>2.9239766081871332</v>
      </c>
      <c r="D112" s="161">
        <f t="shared" si="9"/>
        <v>2.9239766081871332</v>
      </c>
      <c r="E112" s="161">
        <f>-B112*Main!$B$18-2*Main!$B$18*loop_gain!$B$17*loop_gain!$B$18</f>
        <v>-201.40771929824558</v>
      </c>
      <c r="F112" s="161">
        <f>2*Main!$B$18*loop_gain!$B$17*loop_gain!$B$18*Helper_calcs!$B$14*Current_limit!B112</f>
        <v>1896.6315789473674</v>
      </c>
      <c r="G112" s="161">
        <f t="shared" si="11"/>
        <v>11.256346078791768</v>
      </c>
      <c r="H112" s="161">
        <f>(Main!$B$18-Current_limit!G112)*Current_limit!G112/(Main!$B$18*loop_gain!$B$17*loop_gain!$B$18)</f>
        <v>0.10065928210642618</v>
      </c>
      <c r="I112" s="161">
        <f t="shared" si="12"/>
        <v>3.7993407178935734</v>
      </c>
      <c r="J112" s="161"/>
      <c r="K112" s="163">
        <f>IF(A112&gt;$B$15,IF(I112&gt;Helper_calcs!$B$15,23,3),0)</f>
        <v>0</v>
      </c>
      <c r="L112" s="162">
        <f t="shared" si="10"/>
        <v>0</v>
      </c>
      <c r="M112" s="162">
        <f t="shared" si="13"/>
        <v>0</v>
      </c>
      <c r="N112" s="161">
        <f t="shared" si="14"/>
        <v>1.7100000000000006</v>
      </c>
      <c r="O112" s="161">
        <f t="shared" si="15"/>
        <v>5</v>
      </c>
      <c r="P112" s="149">
        <f>IF(OR(M112=0,M112=3),loop_gain!$B$18,IF(Current_limit!M112=1,Current_limit!$B$12/(2*(Current_limit!N112-Helper_calcs!$B$15)),IF(OR(M112=2,M112=23),(Main!$B$18-Current_limit!O112)*Current_limit!O112/(Main!$B$18*loop_gain!$B$17*(Helper_calcs!$B$14-Helper_calcs!$B$15)),x)))</f>
        <v>2100000</v>
      </c>
      <c r="Q112" s="161"/>
    </row>
    <row r="113" spans="1:17" x14ac:dyDescent="0.25">
      <c r="A113">
        <f t="shared" si="16"/>
        <v>1.7200000000000006</v>
      </c>
      <c r="B113">
        <f>Main!$B$19/A113</f>
        <v>2.9069767441860455</v>
      </c>
      <c r="D113" s="161">
        <f t="shared" si="9"/>
        <v>2.9069767441860455</v>
      </c>
      <c r="E113" s="161">
        <f>-B113*Main!$B$18-2*Main!$B$18*loop_gain!$B$17*loop_gain!$B$18</f>
        <v>-201.20372093023252</v>
      </c>
      <c r="F113" s="161">
        <f>2*Main!$B$18*loop_gain!$B$17*loop_gain!$B$18*Helper_calcs!$B$14*Current_limit!B113</f>
        <v>1885.6046511627897</v>
      </c>
      <c r="G113" s="161">
        <f t="shared" si="11"/>
        <v>11.176307669114557</v>
      </c>
      <c r="H113" s="161">
        <f>(Main!$B$18-Current_limit!G113)*Current_limit!G113/(Main!$B$18*loop_gain!$B$17*loop_gain!$B$18)</f>
        <v>0.11070032364918014</v>
      </c>
      <c r="I113" s="161">
        <f t="shared" si="12"/>
        <v>3.7892996763508191</v>
      </c>
      <c r="J113" s="161"/>
      <c r="K113" s="163">
        <f>IF(A113&gt;$B$15,IF(I113&gt;Helper_calcs!$B$15,23,3),0)</f>
        <v>0</v>
      </c>
      <c r="L113" s="162">
        <f t="shared" si="10"/>
        <v>0</v>
      </c>
      <c r="M113" s="162">
        <f t="shared" si="13"/>
        <v>0</v>
      </c>
      <c r="N113" s="161">
        <f t="shared" si="14"/>
        <v>1.7200000000000006</v>
      </c>
      <c r="O113" s="161">
        <f t="shared" si="15"/>
        <v>5</v>
      </c>
      <c r="P113" s="149">
        <f>IF(OR(M113=0,M113=3),loop_gain!$B$18,IF(Current_limit!M113=1,Current_limit!$B$12/(2*(Current_limit!N113-Helper_calcs!$B$15)),IF(OR(M113=2,M113=23),(Main!$B$18-Current_limit!O113)*Current_limit!O113/(Main!$B$18*loop_gain!$B$17*(Helper_calcs!$B$14-Helper_calcs!$B$15)),x)))</f>
        <v>2100000</v>
      </c>
      <c r="Q113" s="161"/>
    </row>
    <row r="114" spans="1:17" x14ac:dyDescent="0.25">
      <c r="A114">
        <f t="shared" si="16"/>
        <v>1.7300000000000006</v>
      </c>
      <c r="B114">
        <f>Main!$B$19/A114</f>
        <v>2.8901734104046231</v>
      </c>
      <c r="D114" s="161">
        <f t="shared" si="9"/>
        <v>2.8901734104046231</v>
      </c>
      <c r="E114" s="161">
        <f>-B114*Main!$B$18-2*Main!$B$18*loop_gain!$B$17*loop_gain!$B$18</f>
        <v>-201.00208092485548</v>
      </c>
      <c r="F114" s="161">
        <f>2*Main!$B$18*loop_gain!$B$17*loop_gain!$B$18*Helper_calcs!$B$14*Current_limit!B114</f>
        <v>1874.7052023121378</v>
      </c>
      <c r="G114" s="161">
        <f t="shared" si="11"/>
        <v>11.097664325118544</v>
      </c>
      <c r="H114" s="161">
        <f>(Main!$B$18-Current_limit!G114)*Current_limit!G114/(Main!$B$18*loop_gain!$B$17*loop_gain!$B$18)</f>
        <v>0.12041628701796181</v>
      </c>
      <c r="I114" s="161">
        <f t="shared" si="12"/>
        <v>3.7795837129820367</v>
      </c>
      <c r="J114" s="161"/>
      <c r="K114" s="163">
        <f>IF(A114&gt;$B$15,IF(I114&gt;Helper_calcs!$B$15,23,3),0)</f>
        <v>0</v>
      </c>
      <c r="L114" s="162">
        <f t="shared" si="10"/>
        <v>0</v>
      </c>
      <c r="M114" s="162">
        <f t="shared" si="13"/>
        <v>0</v>
      </c>
      <c r="N114" s="161">
        <f t="shared" si="14"/>
        <v>1.7300000000000006</v>
      </c>
      <c r="O114" s="161">
        <f t="shared" si="15"/>
        <v>5</v>
      </c>
      <c r="P114" s="149">
        <f>IF(OR(M114=0,M114=3),loop_gain!$B$18,IF(Current_limit!M114=1,Current_limit!$B$12/(2*(Current_limit!N114-Helper_calcs!$B$15)),IF(OR(M114=2,M114=23),(Main!$B$18-Current_limit!O114)*Current_limit!O114/(Main!$B$18*loop_gain!$B$17*(Helper_calcs!$B$14-Helper_calcs!$B$15)),x)))</f>
        <v>2100000</v>
      </c>
      <c r="Q114" s="161"/>
    </row>
    <row r="115" spans="1:17" x14ac:dyDescent="0.25">
      <c r="A115">
        <f t="shared" si="16"/>
        <v>1.7400000000000007</v>
      </c>
      <c r="B115">
        <f>Main!$B$19/A115</f>
        <v>2.8735632183908035</v>
      </c>
      <c r="D115" s="161">
        <f t="shared" si="9"/>
        <v>2.8735632183908035</v>
      </c>
      <c r="E115" s="161">
        <f>-B115*Main!$B$18-2*Main!$B$18*loop_gain!$B$17*loop_gain!$B$18</f>
        <v>-200.80275862068964</v>
      </c>
      <c r="F115" s="161">
        <f>2*Main!$B$18*loop_gain!$B$17*loop_gain!$B$18*Helper_calcs!$B$14*Current_limit!B115</f>
        <v>1863.9310344827577</v>
      </c>
      <c r="G115" s="161">
        <f t="shared" si="11"/>
        <v>11.020373185161066</v>
      </c>
      <c r="H115" s="161">
        <f>(Main!$B$18-Current_limit!G115)*Current_limit!G115/(Main!$B$18*loop_gain!$B$17*loop_gain!$B$18)</f>
        <v>0.1298202631278948</v>
      </c>
      <c r="I115" s="161">
        <f t="shared" si="12"/>
        <v>3.7701797368721048</v>
      </c>
      <c r="J115" s="161"/>
      <c r="K115" s="163">
        <f>IF(A115&gt;$B$15,IF(I115&gt;Helper_calcs!$B$15,23,3),0)</f>
        <v>0</v>
      </c>
      <c r="L115" s="162">
        <f t="shared" si="10"/>
        <v>0</v>
      </c>
      <c r="M115" s="162">
        <f t="shared" si="13"/>
        <v>0</v>
      </c>
      <c r="N115" s="161">
        <f t="shared" si="14"/>
        <v>1.7400000000000007</v>
      </c>
      <c r="O115" s="161">
        <f t="shared" si="15"/>
        <v>5</v>
      </c>
      <c r="P115" s="149">
        <f>IF(OR(M115=0,M115=3),loop_gain!$B$18,IF(Current_limit!M115=1,Current_limit!$B$12/(2*(Current_limit!N115-Helper_calcs!$B$15)),IF(OR(M115=2,M115=23),(Main!$B$18-Current_limit!O115)*Current_limit!O115/(Main!$B$18*loop_gain!$B$17*(Helper_calcs!$B$14-Helper_calcs!$B$15)),x)))</f>
        <v>2100000</v>
      </c>
      <c r="Q115" s="161"/>
    </row>
    <row r="116" spans="1:17" x14ac:dyDescent="0.25">
      <c r="A116">
        <f t="shared" si="16"/>
        <v>1.7500000000000007</v>
      </c>
      <c r="B116">
        <f>Main!$B$19/A116</f>
        <v>2.8571428571428559</v>
      </c>
      <c r="D116" s="161">
        <f t="shared" si="9"/>
        <v>2.8571428571428559</v>
      </c>
      <c r="E116" s="161">
        <f>-B116*Main!$B$18-2*Main!$B$18*loop_gain!$B$17*loop_gain!$B$18</f>
        <v>-200.60571428571427</v>
      </c>
      <c r="F116" s="161">
        <f>2*Main!$B$18*loop_gain!$B$17*loop_gain!$B$18*Helper_calcs!$B$14*Current_limit!B116</f>
        <v>1853.2799999999988</v>
      </c>
      <c r="G116" s="161">
        <f t="shared" si="11"/>
        <v>10.944393348123551</v>
      </c>
      <c r="H116" s="161">
        <f>(Main!$B$18-Current_limit!G116)*Current_limit!G116/(Main!$B$18*loop_gain!$B$17*loop_gain!$B$18)</f>
        <v>0.13892465631351106</v>
      </c>
      <c r="I116" s="161">
        <f t="shared" si="12"/>
        <v>3.761075343686489</v>
      </c>
      <c r="J116" s="161"/>
      <c r="K116" s="163">
        <f>IF(A116&gt;$B$15,IF(I116&gt;Helper_calcs!$B$15,23,3),0)</f>
        <v>0</v>
      </c>
      <c r="L116" s="162">
        <f t="shared" si="10"/>
        <v>0</v>
      </c>
      <c r="M116" s="162">
        <f t="shared" si="13"/>
        <v>0</v>
      </c>
      <c r="N116" s="161">
        <f t="shared" si="14"/>
        <v>1.7500000000000007</v>
      </c>
      <c r="O116" s="161">
        <f t="shared" si="15"/>
        <v>5</v>
      </c>
      <c r="P116" s="149">
        <f>IF(OR(M116=0,M116=3),loop_gain!$B$18,IF(Current_limit!M116=1,Current_limit!$B$12/(2*(Current_limit!N116-Helper_calcs!$B$15)),IF(OR(M116=2,M116=23),(Main!$B$18-Current_limit!O116)*Current_limit!O116/(Main!$B$18*loop_gain!$B$17*(Helper_calcs!$B$14-Helper_calcs!$B$15)),x)))</f>
        <v>2100000</v>
      </c>
      <c r="Q116" s="161"/>
    </row>
    <row r="117" spans="1:17" x14ac:dyDescent="0.25">
      <c r="A117">
        <f t="shared" si="16"/>
        <v>1.7600000000000007</v>
      </c>
      <c r="B117">
        <f>Main!$B$19/A117</f>
        <v>2.8409090909090899</v>
      </c>
      <c r="D117" s="161">
        <f t="shared" si="9"/>
        <v>2.8409090909090899</v>
      </c>
      <c r="E117" s="161">
        <f>-B117*Main!$B$18-2*Main!$B$18*loop_gain!$B$17*loop_gain!$B$18</f>
        <v>-200.41090909090906</v>
      </c>
      <c r="F117" s="161">
        <f>2*Main!$B$18*loop_gain!$B$17*loop_gain!$B$18*Helper_calcs!$B$14*Current_limit!B117</f>
        <v>1842.7499999999991</v>
      </c>
      <c r="G117" s="161">
        <f t="shared" si="11"/>
        <v>10.869685753214259</v>
      </c>
      <c r="H117" s="161">
        <f>(Main!$B$18-Current_limit!G117)*Current_limit!G117/(Main!$B$18*loop_gain!$B$17*loop_gain!$B$18)</f>
        <v>0.14774122973715814</v>
      </c>
      <c r="I117" s="161">
        <f t="shared" si="12"/>
        <v>3.7522587702628414</v>
      </c>
      <c r="J117" s="161"/>
      <c r="K117" s="163">
        <f>IF(A117&gt;$B$15,IF(I117&gt;Helper_calcs!$B$15,23,3),0)</f>
        <v>0</v>
      </c>
      <c r="L117" s="162">
        <f t="shared" si="10"/>
        <v>0</v>
      </c>
      <c r="M117" s="162">
        <f t="shared" si="13"/>
        <v>0</v>
      </c>
      <c r="N117" s="161">
        <f t="shared" si="14"/>
        <v>1.7600000000000007</v>
      </c>
      <c r="O117" s="161">
        <f t="shared" si="15"/>
        <v>5</v>
      </c>
      <c r="P117" s="149">
        <f>IF(OR(M117=0,M117=3),loop_gain!$B$18,IF(Current_limit!M117=1,Current_limit!$B$12/(2*(Current_limit!N117-Helper_calcs!$B$15)),IF(OR(M117=2,M117=23),(Main!$B$18-Current_limit!O117)*Current_limit!O117/(Main!$B$18*loop_gain!$B$17*(Helper_calcs!$B$14-Helper_calcs!$B$15)),x)))</f>
        <v>2100000</v>
      </c>
      <c r="Q117" s="161"/>
    </row>
    <row r="118" spans="1:17" x14ac:dyDescent="0.25">
      <c r="A118">
        <f t="shared" si="16"/>
        <v>1.7700000000000007</v>
      </c>
      <c r="B118">
        <f>Main!$B$19/A118</f>
        <v>2.8248587570621457</v>
      </c>
      <c r="D118" s="161">
        <f t="shared" si="9"/>
        <v>2.8248587570621457</v>
      </c>
      <c r="E118" s="161">
        <f>-B118*Main!$B$18-2*Main!$B$18*loop_gain!$B$17*loop_gain!$B$18</f>
        <v>-200.21830508474574</v>
      </c>
      <c r="F118" s="161">
        <f>2*Main!$B$18*loop_gain!$B$17*loop_gain!$B$18*Helper_calcs!$B$14*Current_limit!B118</f>
        <v>1832.3389830508465</v>
      </c>
      <c r="G118" s="161">
        <f t="shared" si="11"/>
        <v>10.796213069001496</v>
      </c>
      <c r="H118" s="161">
        <f>(Main!$B$18-Current_limit!G118)*Current_limit!G118/(Main!$B$18*loop_gain!$B$17*loop_gain!$B$18)</f>
        <v>0.15628114714693667</v>
      </c>
      <c r="I118" s="161">
        <f t="shared" si="12"/>
        <v>3.7437188528530632</v>
      </c>
      <c r="J118" s="161"/>
      <c r="K118" s="163">
        <f>IF(A118&gt;$B$15,IF(I118&gt;Helper_calcs!$B$15,23,3),0)</f>
        <v>0</v>
      </c>
      <c r="L118" s="162">
        <f t="shared" si="10"/>
        <v>0</v>
      </c>
      <c r="M118" s="162">
        <f t="shared" si="13"/>
        <v>0</v>
      </c>
      <c r="N118" s="161">
        <f t="shared" si="14"/>
        <v>1.7700000000000007</v>
      </c>
      <c r="O118" s="161">
        <f t="shared" si="15"/>
        <v>5</v>
      </c>
      <c r="P118" s="149">
        <f>IF(OR(M118=0,M118=3),loop_gain!$B$18,IF(Current_limit!M118=1,Current_limit!$B$12/(2*(Current_limit!N118-Helper_calcs!$B$15)),IF(OR(M118=2,M118=23),(Main!$B$18-Current_limit!O118)*Current_limit!O118/(Main!$B$18*loop_gain!$B$17*(Helper_calcs!$B$14-Helper_calcs!$B$15)),x)))</f>
        <v>2100000</v>
      </c>
      <c r="Q118" s="161"/>
    </row>
    <row r="119" spans="1:17" x14ac:dyDescent="0.25">
      <c r="A119">
        <f t="shared" si="16"/>
        <v>1.7800000000000007</v>
      </c>
      <c r="B119">
        <f>Main!$B$19/A119</f>
        <v>2.8089887640449427</v>
      </c>
      <c r="D119" s="161">
        <f t="shared" si="9"/>
        <v>2.8089887640449427</v>
      </c>
      <c r="E119" s="161">
        <f>-B119*Main!$B$18-2*Main!$B$18*loop_gain!$B$17*loop_gain!$B$18</f>
        <v>-200.02786516853931</v>
      </c>
      <c r="F119" s="161">
        <f>2*Main!$B$18*loop_gain!$B$17*loop_gain!$B$18*Helper_calcs!$B$14*Current_limit!B119</f>
        <v>1822.0449438202238</v>
      </c>
      <c r="G119" s="161">
        <f t="shared" si="11"/>
        <v>10.723939590828671</v>
      </c>
      <c r="H119" s="161">
        <f>(Main!$B$18-Current_limit!G119)*Current_limit!G119/(Main!$B$18*loop_gain!$B$17*loop_gain!$B$18)</f>
        <v>0.16455501132998374</v>
      </c>
      <c r="I119" s="161">
        <f t="shared" si="12"/>
        <v>3.7354449886700163</v>
      </c>
      <c r="J119" s="161"/>
      <c r="K119" s="163">
        <f>IF(A119&gt;$B$15,IF(I119&gt;Helper_calcs!$B$15,23,3),0)</f>
        <v>0</v>
      </c>
      <c r="L119" s="162">
        <f t="shared" si="10"/>
        <v>0</v>
      </c>
      <c r="M119" s="162">
        <f t="shared" si="13"/>
        <v>0</v>
      </c>
      <c r="N119" s="161">
        <f t="shared" si="14"/>
        <v>1.7800000000000007</v>
      </c>
      <c r="O119" s="161">
        <f t="shared" si="15"/>
        <v>5</v>
      </c>
      <c r="P119" s="149">
        <f>IF(OR(M119=0,M119=3),loop_gain!$B$18,IF(Current_limit!M119=1,Current_limit!$B$12/(2*(Current_limit!N119-Helper_calcs!$B$15)),IF(OR(M119=2,M119=23),(Main!$B$18-Current_limit!O119)*Current_limit!O119/(Main!$B$18*loop_gain!$B$17*(Helper_calcs!$B$14-Helper_calcs!$B$15)),x)))</f>
        <v>2100000</v>
      </c>
      <c r="Q119" s="161"/>
    </row>
    <row r="120" spans="1:17" x14ac:dyDescent="0.25">
      <c r="A120">
        <f t="shared" si="16"/>
        <v>1.7900000000000007</v>
      </c>
      <c r="B120">
        <f>Main!$B$19/A120</f>
        <v>2.7932960893854739</v>
      </c>
      <c r="D120" s="161">
        <f t="shared" si="9"/>
        <v>2.7932960893854739</v>
      </c>
      <c r="E120" s="161">
        <f>-B120*Main!$B$18-2*Main!$B$18*loop_gain!$B$17*loop_gain!$B$18</f>
        <v>-199.83955307262568</v>
      </c>
      <c r="F120" s="161">
        <f>2*Main!$B$18*loop_gain!$B$17*loop_gain!$B$18*Helper_calcs!$B$14*Current_limit!B120</f>
        <v>1811.8659217877087</v>
      </c>
      <c r="G120" s="161">
        <f t="shared" si="11"/>
        <v>10.65283114585297</v>
      </c>
      <c r="H120" s="161">
        <f>(Main!$B$18-Current_limit!G120)*Current_limit!G120/(Main!$B$18*loop_gain!$B$17*loop_gain!$B$18)</f>
        <v>0.17257289956927058</v>
      </c>
      <c r="I120" s="161">
        <f t="shared" si="12"/>
        <v>3.7274271004307291</v>
      </c>
      <c r="J120" s="161"/>
      <c r="K120" s="163">
        <f>IF(A120&gt;$B$15,IF(I120&gt;Helper_calcs!$B$15,23,3),0)</f>
        <v>0</v>
      </c>
      <c r="L120" s="162">
        <f t="shared" si="10"/>
        <v>0</v>
      </c>
      <c r="M120" s="162">
        <f t="shared" si="13"/>
        <v>0</v>
      </c>
      <c r="N120" s="161">
        <f t="shared" si="14"/>
        <v>1.7900000000000007</v>
      </c>
      <c r="O120" s="161">
        <f t="shared" si="15"/>
        <v>5</v>
      </c>
      <c r="P120" s="149">
        <f>IF(OR(M120=0,M120=3),loop_gain!$B$18,IF(Current_limit!M120=1,Current_limit!$B$12/(2*(Current_limit!N120-Helper_calcs!$B$15)),IF(OR(M120=2,M120=23),(Main!$B$18-Current_limit!O120)*Current_limit!O120/(Main!$B$18*loop_gain!$B$17*(Helper_calcs!$B$14-Helper_calcs!$B$15)),x)))</f>
        <v>2100000</v>
      </c>
      <c r="Q120" s="161"/>
    </row>
    <row r="121" spans="1:17" x14ac:dyDescent="0.25">
      <c r="A121">
        <f t="shared" si="16"/>
        <v>1.8000000000000007</v>
      </c>
      <c r="B121">
        <f>Main!$B$19/A121</f>
        <v>2.7777777777777768</v>
      </c>
      <c r="D121" s="161">
        <f t="shared" si="9"/>
        <v>2.7777777777777768</v>
      </c>
      <c r="E121" s="161">
        <f>-B121*Main!$B$18-2*Main!$B$18*loop_gain!$B$17*loop_gain!$B$18</f>
        <v>-199.65333333333331</v>
      </c>
      <c r="F121" s="161">
        <f>2*Main!$B$18*loop_gain!$B$17*loop_gain!$B$18*Helper_calcs!$B$14*Current_limit!B121</f>
        <v>1801.799999999999</v>
      </c>
      <c r="G121" s="161">
        <f t="shared" si="11"/>
        <v>10.582855005029131</v>
      </c>
      <c r="H121" s="161">
        <f>(Main!$B$18-Current_limit!G121)*Current_limit!G121/(Main!$B$18*loop_gain!$B$17*loop_gain!$B$18)</f>
        <v>0.18034439637902167</v>
      </c>
      <c r="I121" s="161">
        <f t="shared" si="12"/>
        <v>3.7196556036209776</v>
      </c>
      <c r="J121" s="161"/>
      <c r="K121" s="163">
        <f>IF(A121&gt;$B$15,IF(I121&gt;Helper_calcs!$B$15,23,3),0)</f>
        <v>0</v>
      </c>
      <c r="L121" s="162">
        <f t="shared" si="10"/>
        <v>0</v>
      </c>
      <c r="M121" s="162">
        <f t="shared" si="13"/>
        <v>0</v>
      </c>
      <c r="N121" s="161">
        <f t="shared" si="14"/>
        <v>1.8000000000000007</v>
      </c>
      <c r="O121" s="161">
        <f t="shared" si="15"/>
        <v>5</v>
      </c>
      <c r="P121" s="149">
        <f>IF(OR(M121=0,M121=3),loop_gain!$B$18,IF(Current_limit!M121=1,Current_limit!$B$12/(2*(Current_limit!N121-Helper_calcs!$B$15)),IF(OR(M121=2,M121=23),(Main!$B$18-Current_limit!O121)*Current_limit!O121/(Main!$B$18*loop_gain!$B$17*(Helper_calcs!$B$14-Helper_calcs!$B$15)),x)))</f>
        <v>2100000</v>
      </c>
      <c r="Q121" s="161"/>
    </row>
    <row r="122" spans="1:17" x14ac:dyDescent="0.25">
      <c r="A122">
        <f t="shared" si="16"/>
        <v>1.8100000000000007</v>
      </c>
      <c r="B122">
        <f>Main!$B$19/A122</f>
        <v>2.7624309392265181</v>
      </c>
      <c r="D122" s="161">
        <f t="shared" si="9"/>
        <v>2.7624309392265181</v>
      </c>
      <c r="E122" s="161">
        <f>-B122*Main!$B$18-2*Main!$B$18*loop_gain!$B$17*loop_gain!$B$18</f>
        <v>-199.46917127071822</v>
      </c>
      <c r="F122" s="161">
        <f>2*Main!$B$18*loop_gain!$B$17*loop_gain!$B$18*Helper_calcs!$B$14*Current_limit!B122</f>
        <v>1791.8453038674022</v>
      </c>
      <c r="G122" s="161">
        <f t="shared" si="11"/>
        <v>10.513979801429775</v>
      </c>
      <c r="H122" s="161">
        <f>(Main!$B$18-Current_limit!G122)*Current_limit!G122/(Main!$B$18*loop_gain!$B$17*loop_gain!$B$18)</f>
        <v>0.18787862376483899</v>
      </c>
      <c r="I122" s="161">
        <f t="shared" si="12"/>
        <v>3.7121213762351606</v>
      </c>
      <c r="J122" s="161"/>
      <c r="K122" s="163">
        <f>IF(A122&gt;$B$15,IF(I122&gt;Helper_calcs!$B$15,23,3),0)</f>
        <v>0</v>
      </c>
      <c r="L122" s="162">
        <f t="shared" si="10"/>
        <v>0</v>
      </c>
      <c r="M122" s="162">
        <f t="shared" si="13"/>
        <v>0</v>
      </c>
      <c r="N122" s="161">
        <f t="shared" si="14"/>
        <v>1.8100000000000007</v>
      </c>
      <c r="O122" s="161">
        <f t="shared" si="15"/>
        <v>5</v>
      </c>
      <c r="P122" s="149">
        <f>IF(OR(M122=0,M122=3),loop_gain!$B$18,IF(Current_limit!M122=1,Current_limit!$B$12/(2*(Current_limit!N122-Helper_calcs!$B$15)),IF(OR(M122=2,M122=23),(Main!$B$18-Current_limit!O122)*Current_limit!O122/(Main!$B$18*loop_gain!$B$17*(Helper_calcs!$B$14-Helper_calcs!$B$15)),x)))</f>
        <v>2100000</v>
      </c>
      <c r="Q122" s="161"/>
    </row>
    <row r="123" spans="1:17" x14ac:dyDescent="0.25">
      <c r="A123">
        <f t="shared" si="16"/>
        <v>1.8200000000000007</v>
      </c>
      <c r="B123">
        <f>Main!$B$19/A123</f>
        <v>2.7472527472527464</v>
      </c>
      <c r="D123" s="161">
        <f t="shared" si="9"/>
        <v>2.7472527472527464</v>
      </c>
      <c r="E123" s="161">
        <f>-B123*Main!$B$18-2*Main!$B$18*loop_gain!$B$17*loop_gain!$B$18</f>
        <v>-199.28703296703296</v>
      </c>
      <c r="F123" s="161">
        <f>2*Main!$B$18*loop_gain!$B$17*loop_gain!$B$18*Helper_calcs!$B$14*Current_limit!B123</f>
        <v>1781.9999999999991</v>
      </c>
      <c r="G123" s="161">
        <f t="shared" si="11"/>
        <v>10.446175454355751</v>
      </c>
      <c r="H123" s="161">
        <f>(Main!$B$18-Current_limit!G123)*Current_limit!G123/(Main!$B$18*loop_gain!$B$17*loop_gain!$B$18)</f>
        <v>0.19518426922900947</v>
      </c>
      <c r="I123" s="161">
        <f t="shared" si="12"/>
        <v>3.7048157307709904</v>
      </c>
      <c r="J123" s="161"/>
      <c r="K123" s="163">
        <f>IF(A123&gt;$B$15,IF(I123&gt;Helper_calcs!$B$15,23,3),0)</f>
        <v>0</v>
      </c>
      <c r="L123" s="162">
        <f t="shared" si="10"/>
        <v>0</v>
      </c>
      <c r="M123" s="162">
        <f t="shared" si="13"/>
        <v>0</v>
      </c>
      <c r="N123" s="161">
        <f t="shared" si="14"/>
        <v>1.8200000000000007</v>
      </c>
      <c r="O123" s="161">
        <f t="shared" si="15"/>
        <v>5</v>
      </c>
      <c r="P123" s="149">
        <f>IF(OR(M123=0,M123=3),loop_gain!$B$18,IF(Current_limit!M123=1,Current_limit!$B$12/(2*(Current_limit!N123-Helper_calcs!$B$15)),IF(OR(M123=2,M123=23),(Main!$B$18-Current_limit!O123)*Current_limit!O123/(Main!$B$18*loop_gain!$B$17*(Helper_calcs!$B$14-Helper_calcs!$B$15)),x)))</f>
        <v>2100000</v>
      </c>
      <c r="Q123" s="161"/>
    </row>
    <row r="124" spans="1:17" x14ac:dyDescent="0.25">
      <c r="A124">
        <f t="shared" si="16"/>
        <v>1.8300000000000007</v>
      </c>
      <c r="B124">
        <f>Main!$B$19/A124</f>
        <v>2.732240437158469</v>
      </c>
      <c r="D124" s="161">
        <f t="shared" si="9"/>
        <v>2.732240437158469</v>
      </c>
      <c r="E124" s="161">
        <f>-B124*Main!$B$18-2*Main!$B$18*loop_gain!$B$17*loop_gain!$B$18</f>
        <v>-199.10688524590162</v>
      </c>
      <c r="F124" s="161">
        <f>2*Main!$B$18*loop_gain!$B$17*loop_gain!$B$18*Helper_calcs!$B$14*Current_limit!B124</f>
        <v>1772.2622950819664</v>
      </c>
      <c r="G124" s="161">
        <f t="shared" si="11"/>
        <v>10.379413098744669</v>
      </c>
      <c r="H124" s="161">
        <f>(Main!$B$18-Current_limit!G124)*Current_limit!G124/(Main!$B$18*loop_gain!$B$17*loop_gain!$B$18)</f>
        <v>0.20226961171889871</v>
      </c>
      <c r="I124" s="161">
        <f t="shared" si="12"/>
        <v>3.6977303882811006</v>
      </c>
      <c r="J124" s="161"/>
      <c r="K124" s="163">
        <f>IF(A124&gt;$B$15,IF(I124&gt;Helper_calcs!$B$15,23,3),0)</f>
        <v>0</v>
      </c>
      <c r="L124" s="162">
        <f t="shared" si="10"/>
        <v>0</v>
      </c>
      <c r="M124" s="162">
        <f t="shared" si="13"/>
        <v>0</v>
      </c>
      <c r="N124" s="161">
        <f t="shared" si="14"/>
        <v>1.8300000000000007</v>
      </c>
      <c r="O124" s="161">
        <f t="shared" si="15"/>
        <v>5</v>
      </c>
      <c r="P124" s="149">
        <f>IF(OR(M124=0,M124=3),loop_gain!$B$18,IF(Current_limit!M124=1,Current_limit!$B$12/(2*(Current_limit!N124-Helper_calcs!$B$15)),IF(OR(M124=2,M124=23),(Main!$B$18-Current_limit!O124)*Current_limit!O124/(Main!$B$18*loop_gain!$B$17*(Helper_calcs!$B$14-Helper_calcs!$B$15)),x)))</f>
        <v>2100000</v>
      </c>
      <c r="Q124" s="161"/>
    </row>
    <row r="125" spans="1:17" x14ac:dyDescent="0.25">
      <c r="A125">
        <f t="shared" si="16"/>
        <v>1.8400000000000007</v>
      </c>
      <c r="B125">
        <f>Main!$B$19/A125</f>
        <v>2.7173913043478248</v>
      </c>
      <c r="D125" s="161">
        <f t="shared" si="9"/>
        <v>2.7173913043478248</v>
      </c>
      <c r="E125" s="161">
        <f>-B125*Main!$B$18-2*Main!$B$18*loop_gain!$B$17*loop_gain!$B$18</f>
        <v>-198.9286956521739</v>
      </c>
      <c r="F125" s="161">
        <f>2*Main!$B$18*loop_gain!$B$17*loop_gain!$B$18*Helper_calcs!$B$14*Current_limit!B125</f>
        <v>1762.6304347826076</v>
      </c>
      <c r="G125" s="161">
        <f t="shared" si="11"/>
        <v>10.313665019434291</v>
      </c>
      <c r="H125" s="161">
        <f>(Main!$B$18-Current_limit!G125)*Current_limit!G125/(Main!$B$18*loop_gain!$B$17*loop_gain!$B$18)</f>
        <v>0.20914254569635593</v>
      </c>
      <c r="I125" s="161">
        <f t="shared" si="12"/>
        <v>3.690857454303643</v>
      </c>
      <c r="J125" s="161"/>
      <c r="K125" s="163">
        <f>IF(A125&gt;$B$15,IF(I125&gt;Helper_calcs!$B$15,23,3),0)</f>
        <v>0</v>
      </c>
      <c r="L125" s="162">
        <f t="shared" si="10"/>
        <v>0</v>
      </c>
      <c r="M125" s="162">
        <f t="shared" si="13"/>
        <v>0</v>
      </c>
      <c r="N125" s="161">
        <f t="shared" si="14"/>
        <v>1.8400000000000007</v>
      </c>
      <c r="O125" s="161">
        <f t="shared" si="15"/>
        <v>5</v>
      </c>
      <c r="P125" s="149">
        <f>IF(OR(M125=0,M125=3),loop_gain!$B$18,IF(Current_limit!M125=1,Current_limit!$B$12/(2*(Current_limit!N125-Helper_calcs!$B$15)),IF(OR(M125=2,M125=23),(Main!$B$18-Current_limit!O125)*Current_limit!O125/(Main!$B$18*loop_gain!$B$17*(Helper_calcs!$B$14-Helper_calcs!$B$15)),x)))</f>
        <v>2100000</v>
      </c>
      <c r="Q125" s="161"/>
    </row>
    <row r="126" spans="1:17" x14ac:dyDescent="0.25">
      <c r="A126">
        <f t="shared" si="16"/>
        <v>1.8500000000000008</v>
      </c>
      <c r="B126">
        <f>Main!$B$19/A126</f>
        <v>2.7027027027027017</v>
      </c>
      <c r="D126" s="161">
        <f t="shared" si="9"/>
        <v>2.7027027027027017</v>
      </c>
      <c r="E126" s="161">
        <f>-B126*Main!$B$18-2*Main!$B$18*loop_gain!$B$17*loop_gain!$B$18</f>
        <v>-198.75243243243241</v>
      </c>
      <c r="F126" s="161">
        <f>2*Main!$B$18*loop_gain!$B$17*loop_gain!$B$18*Helper_calcs!$B$14*Current_limit!B126</f>
        <v>1753.1027027027019</v>
      </c>
      <c r="G126" s="161">
        <f t="shared" si="11"/>
        <v>10.248904589880595</v>
      </c>
      <c r="H126" s="161">
        <f>(Main!$B$18-Current_limit!G126)*Current_limit!G126/(Main!$B$18*loop_gain!$B$17*loop_gain!$B$18)</f>
        <v>0.2158106034883551</v>
      </c>
      <c r="I126" s="161">
        <f t="shared" si="12"/>
        <v>3.6841893965116443</v>
      </c>
      <c r="J126" s="161"/>
      <c r="K126" s="163">
        <f>IF(A126&gt;$B$15,IF(I126&gt;Helper_calcs!$B$15,23,3),0)</f>
        <v>0</v>
      </c>
      <c r="L126" s="162">
        <f t="shared" si="10"/>
        <v>0</v>
      </c>
      <c r="M126" s="162">
        <f t="shared" si="13"/>
        <v>0</v>
      </c>
      <c r="N126" s="161">
        <f t="shared" si="14"/>
        <v>1.8500000000000008</v>
      </c>
      <c r="O126" s="161">
        <f t="shared" si="15"/>
        <v>5</v>
      </c>
      <c r="P126" s="149">
        <f>IF(OR(M126=0,M126=3),loop_gain!$B$18,IF(Current_limit!M126=1,Current_limit!$B$12/(2*(Current_limit!N126-Helper_calcs!$B$15)),IF(OR(M126=2,M126=23),(Main!$B$18-Current_limit!O126)*Current_limit!O126/(Main!$B$18*loop_gain!$B$17*(Helper_calcs!$B$14-Helper_calcs!$B$15)),x)))</f>
        <v>2100000</v>
      </c>
      <c r="Q126" s="161"/>
    </row>
    <row r="127" spans="1:17" x14ac:dyDescent="0.25">
      <c r="A127">
        <f t="shared" si="16"/>
        <v>1.8600000000000008</v>
      </c>
      <c r="B127">
        <f>Main!$B$19/A127</f>
        <v>2.6881720430107516</v>
      </c>
      <c r="D127" s="161">
        <f t="shared" si="9"/>
        <v>2.6881720430107516</v>
      </c>
      <c r="E127" s="161">
        <f>-B127*Main!$B$18-2*Main!$B$18*loop_gain!$B$17*loop_gain!$B$18</f>
        <v>-198.57806451612902</v>
      </c>
      <c r="F127" s="161">
        <f>2*Main!$B$18*loop_gain!$B$17*loop_gain!$B$18*Helper_calcs!$B$14*Current_limit!B127</f>
        <v>1743.6774193548379</v>
      </c>
      <c r="G127" s="161">
        <f t="shared" si="11"/>
        <v>10.185106214968558</v>
      </c>
      <c r="H127" s="161">
        <f>(Main!$B$18-Current_limit!G127)*Current_limit!G127/(Main!$B$18*loop_gain!$B$17*loop_gain!$B$18)</f>
        <v>0.22228097606339048</v>
      </c>
      <c r="I127" s="161">
        <f t="shared" si="12"/>
        <v>3.6777190239366098</v>
      </c>
      <c r="J127" s="161"/>
      <c r="K127" s="163">
        <f>IF(A127&gt;$B$15,IF(I127&gt;Helper_calcs!$B$15,23,3),0)</f>
        <v>0</v>
      </c>
      <c r="L127" s="162">
        <f t="shared" si="10"/>
        <v>0</v>
      </c>
      <c r="M127" s="162">
        <f t="shared" si="13"/>
        <v>0</v>
      </c>
      <c r="N127" s="161">
        <f t="shared" si="14"/>
        <v>1.8600000000000008</v>
      </c>
      <c r="O127" s="161">
        <f t="shared" si="15"/>
        <v>5</v>
      </c>
      <c r="P127" s="149">
        <f>IF(OR(M127=0,M127=3),loop_gain!$B$18,IF(Current_limit!M127=1,Current_limit!$B$12/(2*(Current_limit!N127-Helper_calcs!$B$15)),IF(OR(M127=2,M127=23),(Main!$B$18-Current_limit!O127)*Current_limit!O127/(Main!$B$18*loop_gain!$B$17*(Helper_calcs!$B$14-Helper_calcs!$B$15)),x)))</f>
        <v>2100000</v>
      </c>
      <c r="Q127" s="161"/>
    </row>
    <row r="128" spans="1:17" x14ac:dyDescent="0.25">
      <c r="A128">
        <f t="shared" si="16"/>
        <v>1.8700000000000008</v>
      </c>
      <c r="B128">
        <f>Main!$B$19/A128</f>
        <v>2.673796791443849</v>
      </c>
      <c r="D128" s="161">
        <f t="shared" si="9"/>
        <v>2.673796791443849</v>
      </c>
      <c r="E128" s="161">
        <f>-B128*Main!$B$18-2*Main!$B$18*loop_gain!$B$17*loop_gain!$B$18</f>
        <v>-198.40556149732618</v>
      </c>
      <c r="F128" s="161">
        <f>2*Main!$B$18*loop_gain!$B$17*loop_gain!$B$18*Helper_calcs!$B$14*Current_limit!B128</f>
        <v>1734.3529411764696</v>
      </c>
      <c r="G128" s="161">
        <f t="shared" si="11"/>
        <v>10.122245277588023</v>
      </c>
      <c r="H128" s="161">
        <f>(Main!$B$18-Current_limit!G128)*Current_limit!G128/(Main!$B$18*loop_gain!$B$17*loop_gain!$B$18)</f>
        <v>0.22856053236415635</v>
      </c>
      <c r="I128" s="161">
        <f t="shared" si="12"/>
        <v>3.6714394676358446</v>
      </c>
      <c r="J128" s="161"/>
      <c r="K128" s="163">
        <f>IF(A128&gt;$B$15,IF(I128&gt;Helper_calcs!$B$15,23,3),0)</f>
        <v>0</v>
      </c>
      <c r="L128" s="162">
        <f t="shared" si="10"/>
        <v>0</v>
      </c>
      <c r="M128" s="162">
        <f t="shared" si="13"/>
        <v>0</v>
      </c>
      <c r="N128" s="161">
        <f t="shared" si="14"/>
        <v>1.8700000000000008</v>
      </c>
      <c r="O128" s="161">
        <f t="shared" si="15"/>
        <v>5</v>
      </c>
      <c r="P128" s="149">
        <f>IF(OR(M128=0,M128=3),loop_gain!$B$18,IF(Current_limit!M128=1,Current_limit!$B$12/(2*(Current_limit!N128-Helper_calcs!$B$15)),IF(OR(M128=2,M128=23),(Main!$B$18-Current_limit!O128)*Current_limit!O128/(Main!$B$18*loop_gain!$B$17*(Helper_calcs!$B$14-Helper_calcs!$B$15)),x)))</f>
        <v>2100000</v>
      </c>
      <c r="Q128" s="161"/>
    </row>
    <row r="129" spans="1:17" x14ac:dyDescent="0.25">
      <c r="A129">
        <f t="shared" si="16"/>
        <v>1.8800000000000008</v>
      </c>
      <c r="B129">
        <f>Main!$B$19/A129</f>
        <v>2.6595744680851054</v>
      </c>
      <c r="D129" s="161">
        <f t="shared" si="9"/>
        <v>2.6595744680851054</v>
      </c>
      <c r="E129" s="161">
        <f>-B129*Main!$B$18-2*Main!$B$18*loop_gain!$B$17*loop_gain!$B$18</f>
        <v>-198.23489361702127</v>
      </c>
      <c r="F129" s="161">
        <f>2*Main!$B$18*loop_gain!$B$17*loop_gain!$B$18*Helper_calcs!$B$14*Current_limit!B129</f>
        <v>1725.1276595744673</v>
      </c>
      <c r="G129" s="161">
        <f t="shared" si="11"/>
        <v>10.060298088677378</v>
      </c>
      <c r="H129" s="161">
        <f>(Main!$B$18-Current_limit!G129)*Current_limit!G129/(Main!$B$18*loop_gain!$B$17*loop_gain!$B$18)</f>
        <v>0.23465583731460837</v>
      </c>
      <c r="I129" s="161">
        <f t="shared" si="12"/>
        <v>3.6653441626853915</v>
      </c>
      <c r="J129" s="161"/>
      <c r="K129" s="163">
        <f>IF(A129&gt;$B$15,IF(I129&gt;Helper_calcs!$B$15,23,3),0)</f>
        <v>0</v>
      </c>
      <c r="L129" s="162">
        <f t="shared" si="10"/>
        <v>0</v>
      </c>
      <c r="M129" s="162">
        <f t="shared" si="13"/>
        <v>0</v>
      </c>
      <c r="N129" s="161">
        <f t="shared" si="14"/>
        <v>1.8800000000000008</v>
      </c>
      <c r="O129" s="161">
        <f t="shared" si="15"/>
        <v>5</v>
      </c>
      <c r="P129" s="149">
        <f>IF(OR(M129=0,M129=3),loop_gain!$B$18,IF(Current_limit!M129=1,Current_limit!$B$12/(2*(Current_limit!N129-Helper_calcs!$B$15)),IF(OR(M129=2,M129=23),(Main!$B$18-Current_limit!O129)*Current_limit!O129/(Main!$B$18*loop_gain!$B$17*(Helper_calcs!$B$14-Helper_calcs!$B$15)),x)))</f>
        <v>2100000</v>
      </c>
      <c r="Q129" s="161"/>
    </row>
    <row r="130" spans="1:17" x14ac:dyDescent="0.25">
      <c r="A130">
        <f t="shared" si="16"/>
        <v>1.8900000000000008</v>
      </c>
      <c r="B130">
        <f>Main!$B$19/A130</f>
        <v>2.6455026455026442</v>
      </c>
      <c r="D130" s="161">
        <f t="shared" si="9"/>
        <v>2.6455026455026442</v>
      </c>
      <c r="E130" s="161">
        <f>-B130*Main!$B$18-2*Main!$B$18*loop_gain!$B$17*loop_gain!$B$18</f>
        <v>-198.06603174603174</v>
      </c>
      <c r="F130" s="161">
        <f>2*Main!$B$18*loop_gain!$B$17*loop_gain!$B$18*Helper_calcs!$B$14*Current_limit!B130</f>
        <v>1715.9999999999989</v>
      </c>
      <c r="G130" s="161">
        <f t="shared" si="11"/>
        <v>9.9992418404650873</v>
      </c>
      <c r="H130" s="161">
        <f>(Main!$B$18-Current_limit!G130)*Current_limit!G130/(Main!$B$18*loop_gain!$B$17*loop_gain!$B$18)</f>
        <v>0.24057316860838648</v>
      </c>
      <c r="I130" s="161">
        <f t="shared" si="12"/>
        <v>3.6594268313916118</v>
      </c>
      <c r="J130" s="161"/>
      <c r="K130" s="163">
        <f>IF(A130&gt;$B$15,IF(I130&gt;Helper_calcs!$B$15,23,3),0)</f>
        <v>0</v>
      </c>
      <c r="L130" s="162">
        <f t="shared" si="10"/>
        <v>0</v>
      </c>
      <c r="M130" s="162">
        <f t="shared" si="13"/>
        <v>0</v>
      </c>
      <c r="N130" s="161">
        <f t="shared" si="14"/>
        <v>1.8900000000000008</v>
      </c>
      <c r="O130" s="161">
        <f t="shared" si="15"/>
        <v>5</v>
      </c>
      <c r="P130" s="149">
        <f>IF(OR(M130=0,M130=3),loop_gain!$B$18,IF(Current_limit!M130=1,Current_limit!$B$12/(2*(Current_limit!N130-Helper_calcs!$B$15)),IF(OR(M130=2,M130=23),(Main!$B$18-Current_limit!O130)*Current_limit!O130/(Main!$B$18*loop_gain!$B$17*(Helper_calcs!$B$14-Helper_calcs!$B$15)),x)))</f>
        <v>2100000</v>
      </c>
      <c r="Q130" s="161"/>
    </row>
    <row r="131" spans="1:17" x14ac:dyDescent="0.25">
      <c r="A131">
        <f t="shared" si="16"/>
        <v>1.9000000000000008</v>
      </c>
      <c r="B131">
        <f>Main!$B$19/A131</f>
        <v>2.6315789473684199</v>
      </c>
      <c r="D131" s="161">
        <f t="shared" si="9"/>
        <v>2.6315789473684199</v>
      </c>
      <c r="E131" s="161">
        <f>-B131*Main!$B$18-2*Main!$B$18*loop_gain!$B$17*loop_gain!$B$18</f>
        <v>-197.89894736842103</v>
      </c>
      <c r="F131" s="161">
        <f>2*Main!$B$18*loop_gain!$B$17*loop_gain!$B$18*Helper_calcs!$B$14*Current_limit!B131</f>
        <v>1706.9684210526307</v>
      </c>
      <c r="G131" s="161">
        <f t="shared" si="11"/>
        <v>9.9390545626636122</v>
      </c>
      <c r="H131" s="161">
        <f>(Main!$B$18-Current_limit!G131)*Current_limit!G131/(Main!$B$18*loop_gain!$B$17*loop_gain!$B$18)</f>
        <v>0.2463185323756491</v>
      </c>
      <c r="I131" s="161">
        <f t="shared" si="12"/>
        <v>3.6536814676243496</v>
      </c>
      <c r="J131" s="161"/>
      <c r="K131" s="163">
        <f>IF(A131&gt;$B$15,IF(I131&gt;Helper_calcs!$B$15,23,3),0)</f>
        <v>0</v>
      </c>
      <c r="L131" s="162">
        <f t="shared" si="10"/>
        <v>0</v>
      </c>
      <c r="M131" s="162">
        <f t="shared" si="13"/>
        <v>0</v>
      </c>
      <c r="N131" s="161">
        <f t="shared" si="14"/>
        <v>1.9000000000000008</v>
      </c>
      <c r="O131" s="161">
        <f t="shared" si="15"/>
        <v>5</v>
      </c>
      <c r="P131" s="149">
        <f>IF(OR(M131=0,M131=3),loop_gain!$B$18,IF(Current_limit!M131=1,Current_limit!$B$12/(2*(Current_limit!N131-Helper_calcs!$B$15)),IF(OR(M131=2,M131=23),(Main!$B$18-Current_limit!O131)*Current_limit!O131/(Main!$B$18*loop_gain!$B$17*(Helper_calcs!$B$14-Helper_calcs!$B$15)),x)))</f>
        <v>2100000</v>
      </c>
      <c r="Q131" s="161"/>
    </row>
    <row r="132" spans="1:17" x14ac:dyDescent="0.25">
      <c r="A132">
        <f t="shared" si="16"/>
        <v>1.9100000000000008</v>
      </c>
      <c r="B132">
        <f>Main!$B$19/A132</f>
        <v>2.6178010471204178</v>
      </c>
      <c r="D132" s="161">
        <f t="shared" si="9"/>
        <v>2.6178010471204178</v>
      </c>
      <c r="E132" s="161">
        <f>-B132*Main!$B$18-2*Main!$B$18*loop_gain!$B$17*loop_gain!$B$18</f>
        <v>-197.73361256544501</v>
      </c>
      <c r="F132" s="161">
        <f>2*Main!$B$18*loop_gain!$B$17*loop_gain!$B$18*Helper_calcs!$B$14*Current_limit!B132</f>
        <v>1698.0314136125646</v>
      </c>
      <c r="G132" s="161">
        <f t="shared" si="11"/>
        <v>9.8797150813920283</v>
      </c>
      <c r="H132" s="161">
        <f>(Main!$B$18-Current_limit!G132)*Current_limit!G132/(Main!$B$18*loop_gain!$B$17*loop_gain!$B$18)</f>
        <v>0.25189767781648931</v>
      </c>
      <c r="I132" s="161">
        <f t="shared" si="12"/>
        <v>3.6481023221835116</v>
      </c>
      <c r="J132" s="161"/>
      <c r="K132" s="163">
        <f>IF(A132&gt;$B$15,IF(I132&gt;Helper_calcs!$B$15,23,3),0)</f>
        <v>0</v>
      </c>
      <c r="L132" s="162">
        <f t="shared" si="10"/>
        <v>0</v>
      </c>
      <c r="M132" s="162">
        <f t="shared" si="13"/>
        <v>0</v>
      </c>
      <c r="N132" s="161">
        <f t="shared" si="14"/>
        <v>1.9100000000000008</v>
      </c>
      <c r="O132" s="161">
        <f t="shared" si="15"/>
        <v>5</v>
      </c>
      <c r="P132" s="149">
        <f>IF(OR(M132=0,M132=3),loop_gain!$B$18,IF(Current_limit!M132=1,Current_limit!$B$12/(2*(Current_limit!N132-Helper_calcs!$B$15)),IF(OR(M132=2,M132=23),(Main!$B$18-Current_limit!O132)*Current_limit!O132/(Main!$B$18*loop_gain!$B$17*(Helper_calcs!$B$14-Helper_calcs!$B$15)),x)))</f>
        <v>2100000</v>
      </c>
      <c r="Q132" s="161"/>
    </row>
    <row r="133" spans="1:17" x14ac:dyDescent="0.25">
      <c r="A133">
        <f t="shared" si="16"/>
        <v>1.9200000000000008</v>
      </c>
      <c r="B133">
        <f>Main!$B$19/A133</f>
        <v>2.6041666666666656</v>
      </c>
      <c r="D133" s="161">
        <f t="shared" si="9"/>
        <v>2.6041666666666656</v>
      </c>
      <c r="E133" s="161">
        <f>-B133*Main!$B$18-2*Main!$B$18*loop_gain!$B$17*loop_gain!$B$18</f>
        <v>-197.57</v>
      </c>
      <c r="F133" s="161">
        <f>2*Main!$B$18*loop_gain!$B$17*loop_gain!$B$18*Helper_calcs!$B$14*Current_limit!B133</f>
        <v>1689.1874999999991</v>
      </c>
      <c r="G133" s="161">
        <f t="shared" si="11"/>
        <v>9.8212029806235392</v>
      </c>
      <c r="H133" s="161">
        <f>(Main!$B$18-Current_limit!G133)*Current_limit!G133/(Main!$B$18*loop_gain!$B$17*loop_gain!$B$18)</f>
        <v>0.25731611088111805</v>
      </c>
      <c r="I133" s="161">
        <f t="shared" si="12"/>
        <v>3.6426838891188815</v>
      </c>
      <c r="J133" s="161"/>
      <c r="K133" s="163">
        <f>IF(A133&gt;$B$15,IF(I133&gt;Helper_calcs!$B$15,23,3),0)</f>
        <v>0</v>
      </c>
      <c r="L133" s="162">
        <f t="shared" si="10"/>
        <v>0</v>
      </c>
      <c r="M133" s="162">
        <f t="shared" si="13"/>
        <v>0</v>
      </c>
      <c r="N133" s="161">
        <f t="shared" si="14"/>
        <v>1.9200000000000008</v>
      </c>
      <c r="O133" s="161">
        <f t="shared" si="15"/>
        <v>5</v>
      </c>
      <c r="P133" s="149">
        <f>IF(OR(M133=0,M133=3),loop_gain!$B$18,IF(Current_limit!M133=1,Current_limit!$B$12/(2*(Current_limit!N133-Helper_calcs!$B$15)),IF(OR(M133=2,M133=23),(Main!$B$18-Current_limit!O133)*Current_limit!O133/(Main!$B$18*loop_gain!$B$17*(Helper_calcs!$B$14-Helper_calcs!$B$15)),x)))</f>
        <v>2100000</v>
      </c>
      <c r="Q133" s="161"/>
    </row>
    <row r="134" spans="1:17" x14ac:dyDescent="0.25">
      <c r="A134">
        <f t="shared" si="16"/>
        <v>1.9300000000000008</v>
      </c>
      <c r="B134">
        <f>Main!$B$19/A134</f>
        <v>2.5906735751295327</v>
      </c>
      <c r="D134" s="161">
        <f t="shared" si="9"/>
        <v>2.5906735751295327</v>
      </c>
      <c r="E134" s="161">
        <f>-B134*Main!$B$18-2*Main!$B$18*loop_gain!$B$17*loop_gain!$B$18</f>
        <v>-197.40808290155439</v>
      </c>
      <c r="F134" s="161">
        <f>2*Main!$B$18*loop_gain!$B$17*loop_gain!$B$18*Helper_calcs!$B$14*Current_limit!B134</f>
        <v>1680.4352331606208</v>
      </c>
      <c r="G134" s="161">
        <f t="shared" si="11"/>
        <v>9.7634985659716857</v>
      </c>
      <c r="H134" s="161">
        <f>(Main!$B$18-Current_limit!G134)*Current_limit!G134/(Main!$B$18*loop_gain!$B$17*loop_gain!$B$18)</f>
        <v>0.2625791070698541</v>
      </c>
      <c r="I134" s="161">
        <f t="shared" si="12"/>
        <v>3.637420892930145</v>
      </c>
      <c r="J134" s="161"/>
      <c r="K134" s="163">
        <f>IF(A134&gt;$B$15,IF(I134&gt;Helper_calcs!$B$15,23,3),0)</f>
        <v>0</v>
      </c>
      <c r="L134" s="162">
        <f t="shared" si="10"/>
        <v>0</v>
      </c>
      <c r="M134" s="162">
        <f t="shared" si="13"/>
        <v>0</v>
      </c>
      <c r="N134" s="161">
        <f t="shared" si="14"/>
        <v>1.9300000000000008</v>
      </c>
      <c r="O134" s="161">
        <f t="shared" si="15"/>
        <v>5</v>
      </c>
      <c r="P134" s="149">
        <f>IF(OR(M134=0,M134=3),loop_gain!$B$18,IF(Current_limit!M134=1,Current_limit!$B$12/(2*(Current_limit!N134-Helper_calcs!$B$15)),IF(OR(M134=2,M134=23),(Main!$B$18-Current_limit!O134)*Current_limit!O134/(Main!$B$18*loop_gain!$B$17*(Helper_calcs!$B$14-Helper_calcs!$B$15)),x)))</f>
        <v>2100000</v>
      </c>
      <c r="Q134" s="161"/>
    </row>
    <row r="135" spans="1:17" x14ac:dyDescent="0.25">
      <c r="A135">
        <f t="shared" si="16"/>
        <v>1.9400000000000008</v>
      </c>
      <c r="B135">
        <f>Main!$B$19/A135</f>
        <v>2.5773195876288648</v>
      </c>
      <c r="D135" s="161">
        <f t="shared" si="9"/>
        <v>2.5773195876288648</v>
      </c>
      <c r="E135" s="161">
        <f>-B135*Main!$B$18-2*Main!$B$18*loop_gain!$B$17*loop_gain!$B$18</f>
        <v>-197.24783505154636</v>
      </c>
      <c r="F135" s="161">
        <f>2*Main!$B$18*loop_gain!$B$17*loop_gain!$B$18*Helper_calcs!$B$14*Current_limit!B135</f>
        <v>1671.7731958762877</v>
      </c>
      <c r="G135" s="161">
        <f t="shared" si="11"/>
        <v>9.7065828306449298</v>
      </c>
      <c r="H135" s="161">
        <f>(Main!$B$18-Current_limit!G135)*Current_limit!G135/(Main!$B$18*loop_gain!$B$17*loop_gain!$B$18)</f>
        <v>0.26769172341953129</v>
      </c>
      <c r="I135" s="161">
        <f t="shared" si="12"/>
        <v>3.6323082765804688</v>
      </c>
      <c r="J135" s="161"/>
      <c r="K135" s="163">
        <f>IF(A135&gt;$B$15,IF(I135&gt;Helper_calcs!$B$15,23,3),0)</f>
        <v>0</v>
      </c>
      <c r="L135" s="162">
        <f t="shared" si="10"/>
        <v>0</v>
      </c>
      <c r="M135" s="162">
        <f t="shared" si="13"/>
        <v>0</v>
      </c>
      <c r="N135" s="161">
        <f t="shared" si="14"/>
        <v>1.9400000000000008</v>
      </c>
      <c r="O135" s="161">
        <f t="shared" si="15"/>
        <v>5</v>
      </c>
      <c r="P135" s="149">
        <f>IF(OR(M135=0,M135=3),loop_gain!$B$18,IF(Current_limit!M135=1,Current_limit!$B$12/(2*(Current_limit!N135-Helper_calcs!$B$15)),IF(OR(M135=2,M135=23),(Main!$B$18-Current_limit!O135)*Current_limit!O135/(Main!$B$18*loop_gain!$B$17*(Helper_calcs!$B$14-Helper_calcs!$B$15)),x)))</f>
        <v>2100000</v>
      </c>
      <c r="Q135" s="161"/>
    </row>
    <row r="136" spans="1:17" x14ac:dyDescent="0.25">
      <c r="A136">
        <f t="shared" si="16"/>
        <v>1.9500000000000008</v>
      </c>
      <c r="B136">
        <f>Main!$B$19/A136</f>
        <v>2.564102564102563</v>
      </c>
      <c r="D136" s="161">
        <f t="shared" si="9"/>
        <v>2.564102564102563</v>
      </c>
      <c r="E136" s="161">
        <f>-B136*Main!$B$18-2*Main!$B$18*loop_gain!$B$17*loop_gain!$B$18</f>
        <v>-197.08923076923074</v>
      </c>
      <c r="F136" s="161">
        <f>2*Main!$B$18*loop_gain!$B$17*loop_gain!$B$18*Helper_calcs!$B$14*Current_limit!B136</f>
        <v>1663.1999999999991</v>
      </c>
      <c r="G136" s="161">
        <f t="shared" si="11"/>
        <v>9.6504374234139458</v>
      </c>
      <c r="H136" s="161">
        <f>(Main!$B$18-Current_limit!G136)*Current_limit!G136/(Main!$B$18*loop_gain!$B$17*loop_gain!$B$18)</f>
        <v>0.27265880973712064</v>
      </c>
      <c r="I136" s="161">
        <f t="shared" si="12"/>
        <v>3.62734119026288</v>
      </c>
      <c r="J136" s="161"/>
      <c r="K136" s="163">
        <f>IF(A136&gt;$B$15,IF(I136&gt;Helper_calcs!$B$15,23,3),0)</f>
        <v>0</v>
      </c>
      <c r="L136" s="162">
        <f t="shared" si="10"/>
        <v>0</v>
      </c>
      <c r="M136" s="162">
        <f t="shared" si="13"/>
        <v>0</v>
      </c>
      <c r="N136" s="161">
        <f t="shared" si="14"/>
        <v>1.9500000000000008</v>
      </c>
      <c r="O136" s="161">
        <f t="shared" si="15"/>
        <v>5</v>
      </c>
      <c r="P136" s="149">
        <f>IF(OR(M136=0,M136=3),loop_gain!$B$18,IF(Current_limit!M136=1,Current_limit!$B$12/(2*(Current_limit!N136-Helper_calcs!$B$15)),IF(OR(M136=2,M136=23),(Main!$B$18-Current_limit!O136)*Current_limit!O136/(Main!$B$18*loop_gain!$B$17*(Helper_calcs!$B$14-Helper_calcs!$B$15)),x)))</f>
        <v>2100000</v>
      </c>
      <c r="Q136" s="161"/>
    </row>
    <row r="137" spans="1:17" x14ac:dyDescent="0.25">
      <c r="A137">
        <f t="shared" si="16"/>
        <v>1.9600000000000009</v>
      </c>
      <c r="B137">
        <f>Main!$B$19/A137</f>
        <v>2.5510204081632644</v>
      </c>
      <c r="D137" s="161">
        <f t="shared" si="9"/>
        <v>2.5510204081632644</v>
      </c>
      <c r="E137" s="161">
        <f>-B137*Main!$B$18-2*Main!$B$18*loop_gain!$B$17*loop_gain!$B$18</f>
        <v>-196.93224489795915</v>
      </c>
      <c r="F137" s="161">
        <f>2*Main!$B$18*loop_gain!$B$17*loop_gain!$B$18*Helper_calcs!$B$14*Current_limit!B137</f>
        <v>1654.7142857142849</v>
      </c>
      <c r="G137" s="161">
        <f t="shared" si="11"/>
        <v>9.5950446184487834</v>
      </c>
      <c r="H137" s="161">
        <f>(Main!$B$18-Current_limit!G137)*Current_limit!G137/(Main!$B$18*loop_gain!$B$17*loop_gain!$B$18)</f>
        <v>0.27748501913615253</v>
      </c>
      <c r="I137" s="161">
        <f t="shared" si="12"/>
        <v>3.6225149808638482</v>
      </c>
      <c r="J137" s="161"/>
      <c r="K137" s="163">
        <f>IF(A137&gt;$B$15,IF(I137&gt;Helper_calcs!$B$15,23,3),0)</f>
        <v>0</v>
      </c>
      <c r="L137" s="162">
        <f t="shared" si="10"/>
        <v>0</v>
      </c>
      <c r="M137" s="162">
        <f t="shared" si="13"/>
        <v>0</v>
      </c>
      <c r="N137" s="161">
        <f t="shared" si="14"/>
        <v>1.9600000000000009</v>
      </c>
      <c r="O137" s="161">
        <f t="shared" si="15"/>
        <v>5</v>
      </c>
      <c r="P137" s="149">
        <f>IF(OR(M137=0,M137=3),loop_gain!$B$18,IF(Current_limit!M137=1,Current_limit!$B$12/(2*(Current_limit!N137-Helper_calcs!$B$15)),IF(OR(M137=2,M137=23),(Main!$B$18-Current_limit!O137)*Current_limit!O137/(Main!$B$18*loop_gain!$B$17*(Helper_calcs!$B$14-Helper_calcs!$B$15)),x)))</f>
        <v>2100000</v>
      </c>
      <c r="Q137" s="161"/>
    </row>
    <row r="138" spans="1:17" x14ac:dyDescent="0.25">
      <c r="A138">
        <f t="shared" si="16"/>
        <v>1.9700000000000009</v>
      </c>
      <c r="B138">
        <f>Main!$B$19/A138</f>
        <v>2.5380710659898464</v>
      </c>
      <c r="D138" s="161">
        <f t="shared" si="9"/>
        <v>2.5380710659898464</v>
      </c>
      <c r="E138" s="161">
        <f>-B138*Main!$B$18-2*Main!$B$18*loop_gain!$B$17*loop_gain!$B$18</f>
        <v>-196.77685279187816</v>
      </c>
      <c r="F138" s="161">
        <f>2*Main!$B$18*loop_gain!$B$17*loop_gain!$B$18*Helper_calcs!$B$14*Current_limit!B138</f>
        <v>1646.3147208121816</v>
      </c>
      <c r="G138" s="161">
        <f t="shared" si="11"/>
        <v>9.5403872868949176</v>
      </c>
      <c r="H138" s="161">
        <f>(Main!$B$18-Current_limit!G138)*Current_limit!G138/(Main!$B$18*loop_gain!$B$17*loop_gain!$B$18)</f>
        <v>0.28217481792680188</v>
      </c>
      <c r="I138" s="161">
        <f t="shared" si="12"/>
        <v>3.6178251820731981</v>
      </c>
      <c r="J138" s="161"/>
      <c r="K138" s="163">
        <f>IF(A138&gt;$B$15,IF(I138&gt;Helper_calcs!$B$15,23,3),0)</f>
        <v>0</v>
      </c>
      <c r="L138" s="162">
        <f t="shared" si="10"/>
        <v>0</v>
      </c>
      <c r="M138" s="162">
        <f t="shared" si="13"/>
        <v>0</v>
      </c>
      <c r="N138" s="161">
        <f t="shared" si="14"/>
        <v>1.9700000000000009</v>
      </c>
      <c r="O138" s="161">
        <f t="shared" si="15"/>
        <v>5</v>
      </c>
      <c r="P138" s="149">
        <f>IF(OR(M138=0,M138=3),loop_gain!$B$18,IF(Current_limit!M138=1,Current_limit!$B$12/(2*(Current_limit!N138-Helper_calcs!$B$15)),IF(OR(M138=2,M138=23),(Main!$B$18-Current_limit!O138)*Current_limit!O138/(Main!$B$18*loop_gain!$B$17*(Helper_calcs!$B$14-Helper_calcs!$B$15)),x)))</f>
        <v>2100000</v>
      </c>
      <c r="Q138" s="161"/>
    </row>
    <row r="139" spans="1:17" x14ac:dyDescent="0.25">
      <c r="A139">
        <f t="shared" si="16"/>
        <v>1.9800000000000009</v>
      </c>
      <c r="B139">
        <f>Main!$B$19/A139</f>
        <v>2.5252525252525242</v>
      </c>
      <c r="D139" s="161">
        <f t="shared" si="9"/>
        <v>2.5252525252525242</v>
      </c>
      <c r="E139" s="161">
        <f>-B139*Main!$B$18-2*Main!$B$18*loop_gain!$B$17*loop_gain!$B$18</f>
        <v>-196.62303030303028</v>
      </c>
      <c r="F139" s="161">
        <f>2*Main!$B$18*loop_gain!$B$17*loop_gain!$B$18*Helper_calcs!$B$14*Current_limit!B139</f>
        <v>1637.9999999999991</v>
      </c>
      <c r="G139" s="161">
        <f t="shared" si="11"/>
        <v>9.4864488700678837</v>
      </c>
      <c r="H139" s="161">
        <f>(Main!$B$18-Current_limit!G139)*Current_limit!G139/(Main!$B$18*loop_gain!$B$17*loop_gain!$B$18)</f>
        <v>0.28673249490623348</v>
      </c>
      <c r="I139" s="161">
        <f t="shared" si="12"/>
        <v>3.6132675050937668</v>
      </c>
      <c r="J139" s="161"/>
      <c r="K139" s="163">
        <f>IF(A139&gt;$B$15,IF(I139&gt;Helper_calcs!$B$15,23,3),0)</f>
        <v>0</v>
      </c>
      <c r="L139" s="162">
        <f t="shared" si="10"/>
        <v>0</v>
      </c>
      <c r="M139" s="162">
        <f t="shared" si="13"/>
        <v>0</v>
      </c>
      <c r="N139" s="161">
        <f t="shared" si="14"/>
        <v>1.9800000000000009</v>
      </c>
      <c r="O139" s="161">
        <f t="shared" si="15"/>
        <v>5</v>
      </c>
      <c r="P139" s="149">
        <f>IF(OR(M139=0,M139=3),loop_gain!$B$18,IF(Current_limit!M139=1,Current_limit!$B$12/(2*(Current_limit!N139-Helper_calcs!$B$15)),IF(OR(M139=2,M139=23),(Main!$B$18-Current_limit!O139)*Current_limit!O139/(Main!$B$18*loop_gain!$B$17*(Helper_calcs!$B$14-Helper_calcs!$B$15)),x)))</f>
        <v>2100000</v>
      </c>
      <c r="Q139" s="161"/>
    </row>
    <row r="140" spans="1:17" x14ac:dyDescent="0.25">
      <c r="A140">
        <f t="shared" si="16"/>
        <v>1.9900000000000009</v>
      </c>
      <c r="B140">
        <f>Main!$B$19/A140</f>
        <v>2.5125628140703506</v>
      </c>
      <c r="D140" s="161">
        <f t="shared" si="9"/>
        <v>2.5125628140703506</v>
      </c>
      <c r="E140" s="161">
        <f>-B140*Main!$B$18-2*Main!$B$18*loop_gain!$B$17*loop_gain!$B$18</f>
        <v>-196.47075376884419</v>
      </c>
      <c r="F140" s="161">
        <f>2*Main!$B$18*loop_gain!$B$17*loop_gain!$B$18*Helper_calcs!$B$14*Current_limit!B140</f>
        <v>1629.7688442211045</v>
      </c>
      <c r="G140" s="161">
        <f t="shared" si="11"/>
        <v>9.4332133541558445</v>
      </c>
      <c r="H140" s="161">
        <f>(Main!$B$18-Current_limit!G140)*Current_limit!G140/(Main!$B$18*loop_gain!$B$17*loop_gain!$B$18)</f>
        <v>0.29116217009194295</v>
      </c>
      <c r="I140" s="161">
        <f t="shared" si="12"/>
        <v>3.6088378299080563</v>
      </c>
      <c r="J140" s="161"/>
      <c r="K140" s="163">
        <f>IF(A140&gt;$B$15,IF(I140&gt;Helper_calcs!$B$15,23,3),0)</f>
        <v>0</v>
      </c>
      <c r="L140" s="162">
        <f t="shared" si="10"/>
        <v>0</v>
      </c>
      <c r="M140" s="162">
        <f t="shared" si="13"/>
        <v>0</v>
      </c>
      <c r="N140" s="161">
        <f t="shared" si="14"/>
        <v>1.9900000000000009</v>
      </c>
      <c r="O140" s="161">
        <f t="shared" si="15"/>
        <v>5</v>
      </c>
      <c r="P140" s="149">
        <f>IF(OR(M140=0,M140=3),loop_gain!$B$18,IF(Current_limit!M140=1,Current_limit!$B$12/(2*(Current_limit!N140-Helper_calcs!$B$15)),IF(OR(M140=2,M140=23),(Main!$B$18-Current_limit!O140)*Current_limit!O140/(Main!$B$18*loop_gain!$B$17*(Helper_calcs!$B$14-Helper_calcs!$B$15)),x)))</f>
        <v>2100000</v>
      </c>
      <c r="Q140" s="161"/>
    </row>
    <row r="141" spans="1:17" x14ac:dyDescent="0.25">
      <c r="A141">
        <f t="shared" si="16"/>
        <v>2.0000000000000009</v>
      </c>
      <c r="B141">
        <f>Main!$B$19/A141</f>
        <v>2.4999999999999991</v>
      </c>
      <c r="D141" s="161">
        <f t="shared" si="9"/>
        <v>2.4999999999999991</v>
      </c>
      <c r="E141" s="161">
        <f>-B141*Main!$B$18-2*Main!$B$18*loop_gain!$B$17*loop_gain!$B$18</f>
        <v>-196.32</v>
      </c>
      <c r="F141" s="161">
        <f>2*Main!$B$18*loop_gain!$B$17*loop_gain!$B$18*Helper_calcs!$B$14*Current_limit!B141</f>
        <v>1621.6199999999992</v>
      </c>
      <c r="G141" s="161">
        <f t="shared" si="11"/>
        <v>9.3806652463283431</v>
      </c>
      <c r="H141" s="161">
        <f>(Main!$B$18-Current_limit!G141)*Current_limit!G141/(Main!$B$18*loop_gain!$B$17*loop_gain!$B$18)</f>
        <v>0.29546780293732233</v>
      </c>
      <c r="I141" s="161">
        <f t="shared" si="12"/>
        <v>3.6045321970626776</v>
      </c>
      <c r="J141" s="161"/>
      <c r="K141" s="163">
        <f>IF(A141&gt;$B$15,IF(I141&gt;Helper_calcs!$B$15,23,3),0)</f>
        <v>0</v>
      </c>
      <c r="L141" s="162">
        <f t="shared" si="10"/>
        <v>0</v>
      </c>
      <c r="M141" s="162">
        <f t="shared" si="13"/>
        <v>0</v>
      </c>
      <c r="N141" s="161">
        <f t="shared" si="14"/>
        <v>2.0000000000000009</v>
      </c>
      <c r="O141" s="161">
        <f t="shared" si="15"/>
        <v>5</v>
      </c>
      <c r="P141" s="149">
        <f>IF(OR(M141=0,M141=3),loop_gain!$B$18,IF(Current_limit!M141=1,Current_limit!$B$12/(2*(Current_limit!N141-Helper_calcs!$B$15)),IF(OR(M141=2,M141=23),(Main!$B$18-Current_limit!O141)*Current_limit!O141/(Main!$B$18*loop_gain!$B$17*(Helper_calcs!$B$14-Helper_calcs!$B$15)),x)))</f>
        <v>2100000</v>
      </c>
      <c r="Q141" s="161"/>
    </row>
    <row r="142" spans="1:17" x14ac:dyDescent="0.25">
      <c r="A142">
        <f t="shared" si="16"/>
        <v>2.0100000000000007</v>
      </c>
      <c r="B142">
        <f>Main!$B$19/A142</f>
        <v>2.4875621890547257</v>
      </c>
      <c r="D142" s="161">
        <f t="shared" si="9"/>
        <v>2.4875621890547257</v>
      </c>
      <c r="E142" s="161">
        <f>-B142*Main!$B$18-2*Main!$B$18*loop_gain!$B$17*loop_gain!$B$18</f>
        <v>-196.1707462686567</v>
      </c>
      <c r="F142" s="161">
        <f>2*Main!$B$18*loop_gain!$B$17*loop_gain!$B$18*Helper_calcs!$B$14*Current_limit!B142</f>
        <v>1613.5522388059694</v>
      </c>
      <c r="G142" s="161">
        <f t="shared" si="11"/>
        <v>9.3287895521573141</v>
      </c>
      <c r="H142" s="161">
        <f>(Main!$B$18-Current_limit!G142)*Current_limit!G142/(Main!$B$18*loop_gain!$B$17*loop_gain!$B$18)</f>
        <v>0.29965320006551599</v>
      </c>
      <c r="I142" s="161">
        <f t="shared" si="12"/>
        <v>3.6003467999344831</v>
      </c>
      <c r="J142" s="161"/>
      <c r="K142" s="163">
        <f>IF(A142&gt;$B$15,IF(I142&gt;Helper_calcs!$B$15,23,3),0)</f>
        <v>0</v>
      </c>
      <c r="L142" s="162">
        <f t="shared" si="10"/>
        <v>0</v>
      </c>
      <c r="M142" s="162">
        <f t="shared" si="13"/>
        <v>0</v>
      </c>
      <c r="N142" s="161">
        <f t="shared" si="14"/>
        <v>2.0100000000000007</v>
      </c>
      <c r="O142" s="161">
        <f t="shared" si="15"/>
        <v>5</v>
      </c>
      <c r="P142" s="149">
        <f>IF(OR(M142=0,M142=3),loop_gain!$B$18,IF(Current_limit!M142=1,Current_limit!$B$12/(2*(Current_limit!N142-Helper_calcs!$B$15)),IF(OR(M142=2,M142=23),(Main!$B$18-Current_limit!O142)*Current_limit!O142/(Main!$B$18*loop_gain!$B$17*(Helper_calcs!$B$14-Helper_calcs!$B$15)),x)))</f>
        <v>2100000</v>
      </c>
      <c r="Q142" s="161"/>
    </row>
    <row r="143" spans="1:17" x14ac:dyDescent="0.25">
      <c r="A143">
        <f t="shared" si="16"/>
        <v>2.0200000000000005</v>
      </c>
      <c r="B143">
        <f>Main!$B$19/A143</f>
        <v>2.4752475247524748</v>
      </c>
      <c r="D143" s="161">
        <f t="shared" si="9"/>
        <v>2.4752475247524748</v>
      </c>
      <c r="E143" s="161">
        <f>-B143*Main!$B$18-2*Main!$B$18*loop_gain!$B$17*loop_gain!$B$18</f>
        <v>-196.0229702970297</v>
      </c>
      <c r="F143" s="161">
        <f>2*Main!$B$18*loop_gain!$B$17*loop_gain!$B$18*Helper_calcs!$B$14*Current_limit!B143</f>
        <v>1605.564356435643</v>
      </c>
      <c r="G143" s="161">
        <f t="shared" si="11"/>
        <v>9.2775717542639509</v>
      </c>
      <c r="H143" s="161">
        <f>(Main!$B$18-Current_limit!G143)*Current_limit!G143/(Main!$B$18*loop_gain!$B$17*loop_gain!$B$18)</f>
        <v>0.30372202255472736</v>
      </c>
      <c r="I143" s="161">
        <f t="shared" si="12"/>
        <v>3.5962779774452733</v>
      </c>
      <c r="J143" s="161"/>
      <c r="K143" s="163">
        <f>IF(A143&gt;$B$15,IF(I143&gt;Helper_calcs!$B$15,23,3),0)</f>
        <v>0</v>
      </c>
      <c r="L143" s="162">
        <f t="shared" si="10"/>
        <v>0</v>
      </c>
      <c r="M143" s="162">
        <f t="shared" si="13"/>
        <v>0</v>
      </c>
      <c r="N143" s="161">
        <f t="shared" si="14"/>
        <v>2.0200000000000005</v>
      </c>
      <c r="O143" s="161">
        <f t="shared" si="15"/>
        <v>5</v>
      </c>
      <c r="P143" s="149">
        <f>IF(OR(M143=0,M143=3),loop_gain!$B$18,IF(Current_limit!M143=1,Current_limit!$B$12/(2*(Current_limit!N143-Helper_calcs!$B$15)),IF(OR(M143=2,M143=23),(Main!$B$18-Current_limit!O143)*Current_limit!O143/(Main!$B$18*loop_gain!$B$17*(Helper_calcs!$B$14-Helper_calcs!$B$15)),x)))</f>
        <v>2100000</v>
      </c>
      <c r="Q143" s="161"/>
    </row>
    <row r="144" spans="1:17" x14ac:dyDescent="0.25">
      <c r="A144">
        <f t="shared" si="16"/>
        <v>2.0300000000000002</v>
      </c>
      <c r="B144">
        <f>Main!$B$19/A144</f>
        <v>2.4630541871921179</v>
      </c>
      <c r="D144" s="161">
        <f t="shared" si="9"/>
        <v>2.4630541871921179</v>
      </c>
      <c r="E144" s="161">
        <f>-B144*Main!$B$18-2*Main!$B$18*loop_gain!$B$17*loop_gain!$B$18</f>
        <v>-195.87665024630542</v>
      </c>
      <c r="F144" s="161">
        <f>2*Main!$B$18*loop_gain!$B$17*loop_gain!$B$18*Helper_calcs!$B$14*Current_limit!B144</f>
        <v>1597.6551724137926</v>
      </c>
      <c r="G144" s="161">
        <f t="shared" si="11"/>
        <v>9.2269977921114101</v>
      </c>
      <c r="H144" s="161">
        <f>(Main!$B$18-Current_limit!G144)*Current_limit!G144/(Main!$B$18*loop_gain!$B$17*loop_gain!$B$18)</f>
        <v>0.30767779280553254</v>
      </c>
      <c r="I144" s="161">
        <f t="shared" si="12"/>
        <v>3.5923222071944667</v>
      </c>
      <c r="J144" s="161"/>
      <c r="K144" s="163">
        <f>IF(A144&gt;$B$15,IF(I144&gt;Helper_calcs!$B$15,23,3),0)</f>
        <v>0</v>
      </c>
      <c r="L144" s="162">
        <f t="shared" si="10"/>
        <v>0</v>
      </c>
      <c r="M144" s="162">
        <f t="shared" si="13"/>
        <v>0</v>
      </c>
      <c r="N144" s="161">
        <f t="shared" si="14"/>
        <v>2.0300000000000002</v>
      </c>
      <c r="O144" s="161">
        <f t="shared" si="15"/>
        <v>5</v>
      </c>
      <c r="P144" s="149">
        <f>IF(OR(M144=0,M144=3),loop_gain!$B$18,IF(Current_limit!M144=1,Current_limit!$B$12/(2*(Current_limit!N144-Helper_calcs!$B$15)),IF(OR(M144=2,M144=23),(Main!$B$18-Current_limit!O144)*Current_limit!O144/(Main!$B$18*loop_gain!$B$17*(Helper_calcs!$B$14-Helper_calcs!$B$15)),x)))</f>
        <v>2100000</v>
      </c>
      <c r="Q144" s="161"/>
    </row>
    <row r="145" spans="1:17" x14ac:dyDescent="0.25">
      <c r="A145">
        <f t="shared" si="16"/>
        <v>2.04</v>
      </c>
      <c r="B145">
        <f>Main!$B$19/A145</f>
        <v>2.4509803921568629</v>
      </c>
      <c r="D145" s="161">
        <f t="shared" si="9"/>
        <v>2.4509803921568629</v>
      </c>
      <c r="E145" s="161">
        <f>-B145*Main!$B$18-2*Main!$B$18*loop_gain!$B$17*loop_gain!$B$18</f>
        <v>-195.73176470588234</v>
      </c>
      <c r="F145" s="161">
        <f>2*Main!$B$18*loop_gain!$B$17*loop_gain!$B$18*Helper_calcs!$B$14*Current_limit!B145</f>
        <v>1589.8235294117646</v>
      </c>
      <c r="G145" s="161">
        <f t="shared" si="11"/>
        <v>9.1770540428696759</v>
      </c>
      <c r="H145" s="161">
        <f>(Main!$B$18-Current_limit!G145)*Current_limit!G145/(Main!$B$18*loop_gain!$B$17*loop_gain!$B$18)</f>
        <v>0.31152390101834354</v>
      </c>
      <c r="I145" s="161">
        <f t="shared" si="12"/>
        <v>3.5884760989816558</v>
      </c>
      <c r="J145" s="161"/>
      <c r="K145" s="163">
        <f>IF(A145&gt;$B$15,IF(I145&gt;Helper_calcs!$B$15,23,3),0)</f>
        <v>0</v>
      </c>
      <c r="L145" s="162">
        <f t="shared" si="10"/>
        <v>0</v>
      </c>
      <c r="M145" s="162">
        <f t="shared" si="13"/>
        <v>0</v>
      </c>
      <c r="N145" s="161">
        <f t="shared" si="14"/>
        <v>2.04</v>
      </c>
      <c r="O145" s="161">
        <f t="shared" si="15"/>
        <v>5</v>
      </c>
      <c r="P145" s="149">
        <f>IF(OR(M145=0,M145=3),loop_gain!$B$18,IF(Current_limit!M145=1,Current_limit!$B$12/(2*(Current_limit!N145-Helper_calcs!$B$15)),IF(OR(M145=2,M145=23),(Main!$B$18-Current_limit!O145)*Current_limit!O145/(Main!$B$18*loop_gain!$B$17*(Helper_calcs!$B$14-Helper_calcs!$B$15)),x)))</f>
        <v>2100000</v>
      </c>
      <c r="Q145" s="161"/>
    </row>
    <row r="146" spans="1:17" x14ac:dyDescent="0.25">
      <c r="A146">
        <f t="shared" si="16"/>
        <v>2.0499999999999998</v>
      </c>
      <c r="B146">
        <f>Main!$B$19/A146</f>
        <v>2.4390243902439028</v>
      </c>
      <c r="D146" s="161">
        <f t="shared" si="9"/>
        <v>2.4390243902439028</v>
      </c>
      <c r="E146" s="161">
        <f>-B146*Main!$B$18-2*Main!$B$18*loop_gain!$B$17*loop_gain!$B$18</f>
        <v>-195.58829268292683</v>
      </c>
      <c r="F146" s="161">
        <f>2*Main!$B$18*loop_gain!$B$17*loop_gain!$B$18*Helper_calcs!$B$14*Current_limit!B146</f>
        <v>1582.0682926829268</v>
      </c>
      <c r="G146" s="161">
        <f t="shared" si="11"/>
        <v>9.1277273032841322</v>
      </c>
      <c r="H146" s="161">
        <f>(Main!$B$18-Current_limit!G146)*Current_limit!G146/(Main!$B$18*loop_gain!$B$17*loop_gain!$B$18)</f>
        <v>0.31526361130701025</v>
      </c>
      <c r="I146" s="161">
        <f t="shared" si="12"/>
        <v>3.5847363886929884</v>
      </c>
      <c r="J146" s="161"/>
      <c r="K146" s="163">
        <f>IF(A146&gt;$B$15,IF(I146&gt;Helper_calcs!$B$15,23,3),0)</f>
        <v>0</v>
      </c>
      <c r="L146" s="162">
        <f t="shared" si="10"/>
        <v>0</v>
      </c>
      <c r="M146" s="162">
        <f t="shared" si="13"/>
        <v>0</v>
      </c>
      <c r="N146" s="161">
        <f t="shared" si="14"/>
        <v>2.0499999999999998</v>
      </c>
      <c r="O146" s="161">
        <f t="shared" si="15"/>
        <v>5</v>
      </c>
      <c r="P146" s="149">
        <f>IF(OR(M146=0,M146=3),loop_gain!$B$18,IF(Current_limit!M146=1,Current_limit!$B$12/(2*(Current_limit!N146-Helper_calcs!$B$15)),IF(OR(M146=2,M146=23),(Main!$B$18-Current_limit!O146)*Current_limit!O146/(Main!$B$18*loop_gain!$B$17*(Helper_calcs!$B$14-Helper_calcs!$B$15)),x)))</f>
        <v>2100000</v>
      </c>
      <c r="Q146" s="161"/>
    </row>
    <row r="147" spans="1:17" x14ac:dyDescent="0.25">
      <c r="A147">
        <f t="shared" si="16"/>
        <v>2.0599999999999996</v>
      </c>
      <c r="B147">
        <f>Main!$B$19/A147</f>
        <v>2.4271844660194177</v>
      </c>
      <c r="D147" s="161">
        <f t="shared" si="9"/>
        <v>2.4271844660194177</v>
      </c>
      <c r="E147" s="161">
        <f>-B147*Main!$B$18-2*Main!$B$18*loop_gain!$B$17*loop_gain!$B$18</f>
        <v>-195.44621359223299</v>
      </c>
      <c r="F147" s="161">
        <f>2*Main!$B$18*loop_gain!$B$17*loop_gain!$B$18*Helper_calcs!$B$14*Current_limit!B147</f>
        <v>1574.3883495145631</v>
      </c>
      <c r="G147" s="161">
        <f t="shared" si="11"/>
        <v>9.079004772484792</v>
      </c>
      <c r="H147" s="161">
        <f>(Main!$B$18-Current_limit!G147)*Current_limit!G147/(Main!$B$18*loop_gain!$B$17*loop_gain!$B$18)</f>
        <v>0.31890006747253341</v>
      </c>
      <c r="I147" s="161">
        <f t="shared" si="12"/>
        <v>3.5810999325274673</v>
      </c>
      <c r="J147" s="161"/>
      <c r="K147" s="163">
        <f>IF(A147&gt;$B$15,IF(I147&gt;Helper_calcs!$B$15,23,3),0)</f>
        <v>0</v>
      </c>
      <c r="L147" s="162">
        <f t="shared" si="10"/>
        <v>0</v>
      </c>
      <c r="M147" s="162">
        <f t="shared" si="13"/>
        <v>0</v>
      </c>
      <c r="N147" s="161">
        <f t="shared" si="14"/>
        <v>2.0599999999999996</v>
      </c>
      <c r="O147" s="161">
        <f t="shared" si="15"/>
        <v>5</v>
      </c>
      <c r="P147" s="149">
        <f>IF(OR(M147=0,M147=3),loop_gain!$B$18,IF(Current_limit!M147=1,Current_limit!$B$12/(2*(Current_limit!N147-Helper_calcs!$B$15)),IF(OR(M147=2,M147=23),(Main!$B$18-Current_limit!O147)*Current_limit!O147/(Main!$B$18*loop_gain!$B$17*(Helper_calcs!$B$14-Helper_calcs!$B$15)),x)))</f>
        <v>2100000</v>
      </c>
      <c r="Q147" s="161"/>
    </row>
    <row r="148" spans="1:17" x14ac:dyDescent="0.25">
      <c r="A148">
        <f t="shared" si="16"/>
        <v>2.0699999999999994</v>
      </c>
      <c r="B148">
        <f>Main!$B$19/A148</f>
        <v>2.4154589371980681</v>
      </c>
      <c r="D148" s="161">
        <f t="shared" si="9"/>
        <v>2.4154589371980681</v>
      </c>
      <c r="E148" s="161">
        <f>-B148*Main!$B$18-2*Main!$B$18*loop_gain!$B$17*loop_gain!$B$18</f>
        <v>-195.30550724637681</v>
      </c>
      <c r="F148" s="161">
        <f>2*Main!$B$18*loop_gain!$B$17*loop_gain!$B$18*Helper_calcs!$B$14*Current_limit!B148</f>
        <v>1566.7826086956522</v>
      </c>
      <c r="G148" s="161">
        <f t="shared" si="11"/>
        <v>9.0308740356774528</v>
      </c>
      <c r="H148" s="161">
        <f>(Main!$B$18-Current_limit!G148)*Current_limit!G148/(Main!$B$18*loop_gain!$B$17*loop_gain!$B$18)</f>
        <v>0.32243629845907013</v>
      </c>
      <c r="I148" s="161">
        <f t="shared" si="12"/>
        <v>3.5775637015409294</v>
      </c>
      <c r="J148" s="161"/>
      <c r="K148" s="163">
        <f>IF(A148&gt;$B$15,IF(I148&gt;Helper_calcs!$B$15,23,3),0)</f>
        <v>0</v>
      </c>
      <c r="L148" s="162">
        <f t="shared" si="10"/>
        <v>0</v>
      </c>
      <c r="M148" s="162">
        <f t="shared" si="13"/>
        <v>0</v>
      </c>
      <c r="N148" s="161">
        <f t="shared" si="14"/>
        <v>2.0699999999999994</v>
      </c>
      <c r="O148" s="161">
        <f t="shared" si="15"/>
        <v>5</v>
      </c>
      <c r="P148" s="149">
        <f>IF(OR(M148=0,M148=3),loop_gain!$B$18,IF(Current_limit!M148=1,Current_limit!$B$12/(2*(Current_limit!N148-Helper_calcs!$B$15)),IF(OR(M148=2,M148=23),(Main!$B$18-Current_limit!O148)*Current_limit!O148/(Main!$B$18*loop_gain!$B$17*(Helper_calcs!$B$14-Helper_calcs!$B$15)),x)))</f>
        <v>2100000</v>
      </c>
      <c r="Q148" s="161"/>
    </row>
    <row r="149" spans="1:17" x14ac:dyDescent="0.25">
      <c r="A149">
        <f t="shared" si="16"/>
        <v>2.0799999999999992</v>
      </c>
      <c r="B149">
        <f>Main!$B$19/A149</f>
        <v>2.4038461538461546</v>
      </c>
      <c r="D149" s="161">
        <f t="shared" si="9"/>
        <v>2.4038461538461546</v>
      </c>
      <c r="E149" s="161">
        <f>-B149*Main!$B$18-2*Main!$B$18*loop_gain!$B$17*loop_gain!$B$18</f>
        <v>-195.16615384615386</v>
      </c>
      <c r="F149" s="161">
        <f>2*Main!$B$18*loop_gain!$B$17*loop_gain!$B$18*Helper_calcs!$B$14*Current_limit!B149</f>
        <v>1559.2500000000002</v>
      </c>
      <c r="G149" s="161">
        <f t="shared" si="11"/>
        <v>8.9833230486625872</v>
      </c>
      <c r="H149" s="161">
        <f>(Main!$B$18-Current_limit!G149)*Current_limit!G149/(Main!$B$18*loop_gain!$B$17*loop_gain!$B$18)</f>
        <v>0.3258752235127293</v>
      </c>
      <c r="I149" s="161">
        <f t="shared" si="12"/>
        <v>3.5741247764872703</v>
      </c>
      <c r="J149" s="161"/>
      <c r="K149" s="163">
        <f>IF(A149&gt;$B$15,IF(I149&gt;Helper_calcs!$B$15,23,3),0)</f>
        <v>0</v>
      </c>
      <c r="L149" s="162">
        <f t="shared" si="10"/>
        <v>0</v>
      </c>
      <c r="M149" s="162">
        <f t="shared" si="13"/>
        <v>0</v>
      </c>
      <c r="N149" s="161">
        <f t="shared" si="14"/>
        <v>2.0799999999999992</v>
      </c>
      <c r="O149" s="161">
        <f t="shared" si="15"/>
        <v>5</v>
      </c>
      <c r="P149" s="149">
        <f>IF(OR(M149=0,M149=3),loop_gain!$B$18,IF(Current_limit!M149=1,Current_limit!$B$12/(2*(Current_limit!N149-Helper_calcs!$B$15)),IF(OR(M149=2,M149=23),(Main!$B$18-Current_limit!O149)*Current_limit!O149/(Main!$B$18*loop_gain!$B$17*(Helper_calcs!$B$14-Helper_calcs!$B$15)),x)))</f>
        <v>2100000</v>
      </c>
      <c r="Q149" s="161"/>
    </row>
    <row r="150" spans="1:17" x14ac:dyDescent="0.25">
      <c r="A150">
        <f t="shared" si="16"/>
        <v>2.089999999999999</v>
      </c>
      <c r="B150">
        <f>Main!$B$19/A150</f>
        <v>2.3923444976076569</v>
      </c>
      <c r="D150" s="161">
        <f t="shared" si="9"/>
        <v>2.3923444976076569</v>
      </c>
      <c r="E150" s="161">
        <f>-B150*Main!$B$18-2*Main!$B$18*loop_gain!$B$17*loop_gain!$B$18</f>
        <v>-195.02813397129188</v>
      </c>
      <c r="F150" s="161">
        <f>2*Main!$B$18*loop_gain!$B$17*loop_gain!$B$18*Helper_calcs!$B$14*Current_limit!B150</f>
        <v>1551.7894736842113</v>
      </c>
      <c r="G150" s="161">
        <f t="shared" si="11"/>
        <v>8.9363401231314032</v>
      </c>
      <c r="H150" s="161">
        <f>(Main!$B$18-Current_limit!G150)*Current_limit!G150/(Main!$B$18*loop_gain!$B$17*loop_gain!$B$18)</f>
        <v>0.32921965706215317</v>
      </c>
      <c r="I150" s="161">
        <f t="shared" si="12"/>
        <v>3.570780342937848</v>
      </c>
      <c r="J150" s="161"/>
      <c r="K150" s="163">
        <f>IF(A150&gt;$B$15,IF(I150&gt;Helper_calcs!$B$15,23,3),0)</f>
        <v>0</v>
      </c>
      <c r="L150" s="162">
        <f t="shared" si="10"/>
        <v>0</v>
      </c>
      <c r="M150" s="162">
        <f t="shared" si="13"/>
        <v>0</v>
      </c>
      <c r="N150" s="161">
        <f t="shared" si="14"/>
        <v>2.089999999999999</v>
      </c>
      <c r="O150" s="161">
        <f t="shared" si="15"/>
        <v>5</v>
      </c>
      <c r="P150" s="149">
        <f>IF(OR(M150=0,M150=3),loop_gain!$B$18,IF(Current_limit!M150=1,Current_limit!$B$12/(2*(Current_limit!N150-Helper_calcs!$B$15)),IF(OR(M150=2,M150=23),(Main!$B$18-Current_limit!O150)*Current_limit!O150/(Main!$B$18*loop_gain!$B$17*(Helper_calcs!$B$14-Helper_calcs!$B$15)),x)))</f>
        <v>2100000</v>
      </c>
      <c r="Q150" s="161"/>
    </row>
    <row r="151" spans="1:17" x14ac:dyDescent="0.25">
      <c r="A151">
        <f t="shared" si="16"/>
        <v>2.0999999999999988</v>
      </c>
      <c r="B151">
        <f>Main!$B$19/A151</f>
        <v>2.3809523809523823</v>
      </c>
      <c r="D151" s="161">
        <f t="shared" ref="D151:D214" si="17">B151</f>
        <v>2.3809523809523823</v>
      </c>
      <c r="E151" s="161">
        <f>-B151*Main!$B$18-2*Main!$B$18*loop_gain!$B$17*loop_gain!$B$18</f>
        <v>-194.89142857142858</v>
      </c>
      <c r="F151" s="161">
        <f>2*Main!$B$18*loop_gain!$B$17*loop_gain!$B$18*Helper_calcs!$B$14*Current_limit!B151</f>
        <v>1544.4000000000005</v>
      </c>
      <c r="G151" s="161">
        <f t="shared" si="11"/>
        <v>8.889913912692295</v>
      </c>
      <c r="H151" s="161">
        <f>(Main!$B$18-Current_limit!G151)*Current_limit!G151/(Main!$B$18*loop_gain!$B$17*loop_gain!$B$18)</f>
        <v>0.33247231333847416</v>
      </c>
      <c r="I151" s="161">
        <f t="shared" si="12"/>
        <v>3.5675276866615246</v>
      </c>
      <c r="J151" s="161"/>
      <c r="K151" s="163">
        <f>IF(A151&gt;$B$15,IF(I151&gt;Helper_calcs!$B$15,23,3),0)</f>
        <v>0</v>
      </c>
      <c r="L151" s="162">
        <f t="shared" ref="L151:L214" si="18">IF(A151&gt;$B$13,IF(A151&gt;$B$14,2,1),0)</f>
        <v>0</v>
      </c>
      <c r="M151" s="162">
        <f t="shared" si="13"/>
        <v>0</v>
      </c>
      <c r="N151" s="161">
        <f t="shared" si="14"/>
        <v>2.0999999999999988</v>
      </c>
      <c r="O151" s="161">
        <f t="shared" si="15"/>
        <v>5</v>
      </c>
      <c r="P151" s="149">
        <f>IF(OR(M151=0,M151=3),loop_gain!$B$18,IF(Current_limit!M151=1,Current_limit!$B$12/(2*(Current_limit!N151-Helper_calcs!$B$15)),IF(OR(M151=2,M151=23),(Main!$B$18-Current_limit!O151)*Current_limit!O151/(Main!$B$18*loop_gain!$B$17*(Helper_calcs!$B$14-Helper_calcs!$B$15)),x)))</f>
        <v>2100000</v>
      </c>
      <c r="Q151" s="161"/>
    </row>
    <row r="152" spans="1:17" x14ac:dyDescent="0.25">
      <c r="A152">
        <f t="shared" si="16"/>
        <v>2.1099999999999985</v>
      </c>
      <c r="B152">
        <f>Main!$B$19/A152</f>
        <v>2.3696682464454994</v>
      </c>
      <c r="D152" s="161">
        <f t="shared" si="17"/>
        <v>2.3696682464454994</v>
      </c>
      <c r="E152" s="161">
        <f>-B152*Main!$B$18-2*Main!$B$18*loop_gain!$B$17*loop_gain!$B$18</f>
        <v>-194.75601895734599</v>
      </c>
      <c r="F152" s="161">
        <f>2*Main!$B$18*loop_gain!$B$17*loop_gain!$B$18*Helper_calcs!$B$14*Current_limit!B152</f>
        <v>1537.0805687203801</v>
      </c>
      <c r="G152" s="161">
        <f t="shared" ref="G152:G215" si="19">(-E152-SQRT(E152^2-4*D152*F152))/(2*D152)</f>
        <v>8.8440333995841751</v>
      </c>
      <c r="H152" s="161">
        <f>(Main!$B$18-Current_limit!G152)*Current_limit!G152/(Main!$B$18*loop_gain!$B$17*loop_gain!$B$18)</f>
        <v>0.33563581075095816</v>
      </c>
      <c r="I152" s="161">
        <f t="shared" ref="I152:I215" si="20">(G152/B152)-0.5*H152</f>
        <v>3.5643641892490403</v>
      </c>
      <c r="J152" s="161"/>
      <c r="K152" s="163">
        <f>IF(A152&gt;$B$15,IF(I152&gt;Helper_calcs!$B$15,23,3),0)</f>
        <v>0</v>
      </c>
      <c r="L152" s="162">
        <f t="shared" si="18"/>
        <v>0</v>
      </c>
      <c r="M152" s="162">
        <f t="shared" ref="M152:M215" si="21">IF($B$16="N",L152,K152)</f>
        <v>0</v>
      </c>
      <c r="N152" s="161">
        <f t="shared" ref="N152:N215" si="22">IF(OR(M152=0,M152=1),A152,IF(OR(M152=2,M152=23),$B$14,G152/B152))</f>
        <v>2.1099999999999985</v>
      </c>
      <c r="O152" s="161">
        <f t="shared" ref="O152:O215" si="23">N152*B152</f>
        <v>5</v>
      </c>
      <c r="P152" s="149">
        <f>IF(OR(M152=0,M152=3),loop_gain!$B$18,IF(Current_limit!M152=1,Current_limit!$B$12/(2*(Current_limit!N152-Helper_calcs!$B$15)),IF(OR(M152=2,M152=23),(Main!$B$18-Current_limit!O152)*Current_limit!O152/(Main!$B$18*loop_gain!$B$17*(Helper_calcs!$B$14-Helper_calcs!$B$15)),x)))</f>
        <v>2100000</v>
      </c>
      <c r="Q152" s="161"/>
    </row>
    <row r="153" spans="1:17" x14ac:dyDescent="0.25">
      <c r="A153">
        <f t="shared" si="16"/>
        <v>2.1199999999999983</v>
      </c>
      <c r="B153">
        <f>Main!$B$19/A153</f>
        <v>2.3584905660377378</v>
      </c>
      <c r="D153" s="161">
        <f t="shared" si="17"/>
        <v>2.3584905660377378</v>
      </c>
      <c r="E153" s="161">
        <f>-B153*Main!$B$18-2*Main!$B$18*loop_gain!$B$17*loop_gain!$B$18</f>
        <v>-194.62188679245284</v>
      </c>
      <c r="F153" s="161">
        <f>2*Main!$B$18*loop_gain!$B$17*loop_gain!$B$18*Helper_calcs!$B$14*Current_limit!B153</f>
        <v>1529.8301886792462</v>
      </c>
      <c r="G153" s="161">
        <f t="shared" si="19"/>
        <v>8.7986878820359884</v>
      </c>
      <c r="H153" s="161">
        <f>(Main!$B$18-Current_limit!G153)*Current_limit!G153/(Main!$B$18*loop_gain!$B$17*loop_gain!$B$18)</f>
        <v>0.33871267603348865</v>
      </c>
      <c r="I153" s="161">
        <f t="shared" si="20"/>
        <v>3.5612873239665115</v>
      </c>
      <c r="J153" s="161"/>
      <c r="K153" s="163">
        <f>IF(A153&gt;$B$15,IF(I153&gt;Helper_calcs!$B$15,23,3),0)</f>
        <v>0</v>
      </c>
      <c r="L153" s="162">
        <f t="shared" si="18"/>
        <v>0</v>
      </c>
      <c r="M153" s="162">
        <f t="shared" si="21"/>
        <v>0</v>
      </c>
      <c r="N153" s="161">
        <f t="shared" si="22"/>
        <v>2.1199999999999983</v>
      </c>
      <c r="O153" s="161">
        <f t="shared" si="23"/>
        <v>5</v>
      </c>
      <c r="P153" s="149">
        <f>IF(OR(M153=0,M153=3),loop_gain!$B$18,IF(Current_limit!M153=1,Current_limit!$B$12/(2*(Current_limit!N153-Helper_calcs!$B$15)),IF(OR(M153=2,M153=23),(Main!$B$18-Current_limit!O153)*Current_limit!O153/(Main!$B$18*loop_gain!$B$17*(Helper_calcs!$B$14-Helper_calcs!$B$15)),x)))</f>
        <v>2100000</v>
      </c>
      <c r="Q153" s="161"/>
    </row>
    <row r="154" spans="1:17" x14ac:dyDescent="0.25">
      <c r="A154">
        <f t="shared" si="16"/>
        <v>2.1299999999999981</v>
      </c>
      <c r="B154">
        <f>Main!$B$19/A154</f>
        <v>2.3474178403755888</v>
      </c>
      <c r="D154" s="161">
        <f t="shared" si="17"/>
        <v>2.3474178403755888</v>
      </c>
      <c r="E154" s="161">
        <f>-B154*Main!$B$18-2*Main!$B$18*loop_gain!$B$17*loop_gain!$B$18</f>
        <v>-194.48901408450706</v>
      </c>
      <c r="F154" s="161">
        <f>2*Main!$B$18*loop_gain!$B$17*loop_gain!$B$18*Helper_calcs!$B$14*Current_limit!B154</f>
        <v>1522.6478873239446</v>
      </c>
      <c r="G154" s="161">
        <f t="shared" si="19"/>
        <v>8.7538669622348095</v>
      </c>
      <c r="H154" s="161">
        <f>(Main!$B$18-Current_limit!G154)*Current_limit!G154/(Main!$B$18*loop_gain!$B$17*loop_gain!$B$18)</f>
        <v>0.34170534817594544</v>
      </c>
      <c r="I154" s="161">
        <f t="shared" si="20"/>
        <v>3.5582946518240535</v>
      </c>
      <c r="J154" s="161"/>
      <c r="K154" s="163">
        <f>IF(A154&gt;$B$15,IF(I154&gt;Helper_calcs!$B$15,23,3),0)</f>
        <v>0</v>
      </c>
      <c r="L154" s="162">
        <f t="shared" si="18"/>
        <v>0</v>
      </c>
      <c r="M154" s="162">
        <f t="shared" si="21"/>
        <v>0</v>
      </c>
      <c r="N154" s="161">
        <f t="shared" si="22"/>
        <v>2.1299999999999981</v>
      </c>
      <c r="O154" s="161">
        <f t="shared" si="23"/>
        <v>5</v>
      </c>
      <c r="P154" s="149">
        <f>IF(OR(M154=0,M154=3),loop_gain!$B$18,IF(Current_limit!M154=1,Current_limit!$B$12/(2*(Current_limit!N154-Helper_calcs!$B$15)),IF(OR(M154=2,M154=23),(Main!$B$18-Current_limit!O154)*Current_limit!O154/(Main!$B$18*loop_gain!$B$17*(Helper_calcs!$B$14-Helper_calcs!$B$15)),x)))</f>
        <v>2100000</v>
      </c>
      <c r="Q154" s="161"/>
    </row>
    <row r="155" spans="1:17" x14ac:dyDescent="0.25">
      <c r="A155">
        <f t="shared" si="16"/>
        <v>2.1399999999999979</v>
      </c>
      <c r="B155">
        <f>Main!$B$19/A155</f>
        <v>2.3364485981308434</v>
      </c>
      <c r="D155" s="161">
        <f t="shared" si="17"/>
        <v>2.3364485981308434</v>
      </c>
      <c r="E155" s="161">
        <f>-B155*Main!$B$18-2*Main!$B$18*loop_gain!$B$17*loop_gain!$B$18</f>
        <v>-194.35738317757011</v>
      </c>
      <c r="F155" s="161">
        <f>2*Main!$B$18*loop_gain!$B$17*loop_gain!$B$18*Helper_calcs!$B$14*Current_limit!B155</f>
        <v>1515.5327102803751</v>
      </c>
      <c r="G155" s="161">
        <f t="shared" si="19"/>
        <v>8.7095605348673555</v>
      </c>
      <c r="H155" s="161">
        <f>(Main!$B$18-Current_limit!G155)*Current_limit!G155/(Main!$B$18*loop_gain!$B$17*loop_gain!$B$18)</f>
        <v>0.34461618215355139</v>
      </c>
      <c r="I155" s="161">
        <f t="shared" si="20"/>
        <v>3.5553838178464487</v>
      </c>
      <c r="J155" s="161"/>
      <c r="K155" s="163">
        <f>IF(A155&gt;$B$15,IF(I155&gt;Helper_calcs!$B$15,23,3),0)</f>
        <v>0</v>
      </c>
      <c r="L155" s="162">
        <f t="shared" si="18"/>
        <v>0</v>
      </c>
      <c r="M155" s="162">
        <f t="shared" si="21"/>
        <v>0</v>
      </c>
      <c r="N155" s="161">
        <f t="shared" si="22"/>
        <v>2.1399999999999979</v>
      </c>
      <c r="O155" s="161">
        <f t="shared" si="23"/>
        <v>5</v>
      </c>
      <c r="P155" s="149">
        <f>IF(OR(M155=0,M155=3),loop_gain!$B$18,IF(Current_limit!M155=1,Current_limit!$B$12/(2*(Current_limit!N155-Helper_calcs!$B$15)),IF(OR(M155=2,M155=23),(Main!$B$18-Current_limit!O155)*Current_limit!O155/(Main!$B$18*loop_gain!$B$17*(Helper_calcs!$B$14-Helper_calcs!$B$15)),x)))</f>
        <v>2100000</v>
      </c>
      <c r="Q155" s="161"/>
    </row>
    <row r="156" spans="1:17" x14ac:dyDescent="0.25">
      <c r="A156">
        <f t="shared" si="16"/>
        <v>2.1499999999999977</v>
      </c>
      <c r="B156">
        <f>Main!$B$19/A156</f>
        <v>2.3255813953488396</v>
      </c>
      <c r="D156" s="161">
        <f t="shared" si="17"/>
        <v>2.3255813953488396</v>
      </c>
      <c r="E156" s="161">
        <f>-B156*Main!$B$18-2*Main!$B$18*loop_gain!$B$17*loop_gain!$B$18</f>
        <v>-194.22697674418606</v>
      </c>
      <c r="F156" s="161">
        <f>2*Main!$B$18*loop_gain!$B$17*loop_gain!$B$18*Helper_calcs!$B$14*Current_limit!B156</f>
        <v>1508.4837209302339</v>
      </c>
      <c r="G156" s="161">
        <f t="shared" si="19"/>
        <v>8.6657587762019137</v>
      </c>
      <c r="H156" s="161">
        <f>(Main!$B$18-Current_limit!G156)*Current_limit!G156/(Main!$B$18*loop_gain!$B$17*loop_gain!$B$18)</f>
        <v>0.34744745246635972</v>
      </c>
      <c r="I156" s="161">
        <f t="shared" si="20"/>
        <v>3.5525525475336392</v>
      </c>
      <c r="J156" s="161"/>
      <c r="K156" s="163">
        <f>IF(A156&gt;$B$15,IF(I156&gt;Helper_calcs!$B$15,23,3),0)</f>
        <v>0</v>
      </c>
      <c r="L156" s="162">
        <f t="shared" si="18"/>
        <v>0</v>
      </c>
      <c r="M156" s="162">
        <f t="shared" si="21"/>
        <v>0</v>
      </c>
      <c r="N156" s="161">
        <f t="shared" si="22"/>
        <v>2.1499999999999977</v>
      </c>
      <c r="O156" s="161">
        <f t="shared" si="23"/>
        <v>5</v>
      </c>
      <c r="P156" s="149">
        <f>IF(OR(M156=0,M156=3),loop_gain!$B$18,IF(Current_limit!M156=1,Current_limit!$B$12/(2*(Current_limit!N156-Helper_calcs!$B$15)),IF(OR(M156=2,M156=23),(Main!$B$18-Current_limit!O156)*Current_limit!O156/(Main!$B$18*loop_gain!$B$17*(Helper_calcs!$B$14-Helper_calcs!$B$15)),x)))</f>
        <v>2100000</v>
      </c>
      <c r="Q156" s="161"/>
    </row>
    <row r="157" spans="1:17" x14ac:dyDescent="0.25">
      <c r="A157">
        <f t="shared" si="16"/>
        <v>2.1599999999999975</v>
      </c>
      <c r="B157">
        <f>Main!$B$19/A157</f>
        <v>2.3148148148148175</v>
      </c>
      <c r="D157" s="161">
        <f t="shared" si="17"/>
        <v>2.3148148148148175</v>
      </c>
      <c r="E157" s="161">
        <f>-B157*Main!$B$18-2*Main!$B$18*loop_gain!$B$17*loop_gain!$B$18</f>
        <v>-194.09777777777779</v>
      </c>
      <c r="F157" s="161">
        <f>2*Main!$B$18*loop_gain!$B$17*loop_gain!$B$18*Helper_calcs!$B$14*Current_limit!B157</f>
        <v>1501.5000000000016</v>
      </c>
      <c r="G157" s="161">
        <f t="shared" si="19"/>
        <v>8.6224521336803566</v>
      </c>
      <c r="H157" s="161">
        <f>(Main!$B$18-Current_limit!G157)*Current_limit!G157/(Main!$B$18*loop_gain!$B$17*loop_gain!$B$18)</f>
        <v>0.35020135650018452</v>
      </c>
      <c r="I157" s="161">
        <f t="shared" si="20"/>
        <v>3.5497986434998174</v>
      </c>
      <c r="J157" s="161"/>
      <c r="K157" s="163">
        <f>IF(A157&gt;$B$15,IF(I157&gt;Helper_calcs!$B$15,23,3),0)</f>
        <v>0</v>
      </c>
      <c r="L157" s="162">
        <f t="shared" si="18"/>
        <v>0</v>
      </c>
      <c r="M157" s="162">
        <f t="shared" si="21"/>
        <v>0</v>
      </c>
      <c r="N157" s="161">
        <f t="shared" si="22"/>
        <v>2.1599999999999975</v>
      </c>
      <c r="O157" s="161">
        <f t="shared" si="23"/>
        <v>5</v>
      </c>
      <c r="P157" s="149">
        <f>IF(OR(M157=0,M157=3),loop_gain!$B$18,IF(Current_limit!M157=1,Current_limit!$B$12/(2*(Current_limit!N157-Helper_calcs!$B$15)),IF(OR(M157=2,M157=23),(Main!$B$18-Current_limit!O157)*Current_limit!O157/(Main!$B$18*loop_gain!$B$17*(Helper_calcs!$B$14-Helper_calcs!$B$15)),x)))</f>
        <v>2100000</v>
      </c>
      <c r="Q157" s="161"/>
    </row>
    <row r="158" spans="1:17" x14ac:dyDescent="0.25">
      <c r="A158">
        <f t="shared" si="16"/>
        <v>2.1699999999999973</v>
      </c>
      <c r="B158">
        <f>Main!$B$19/A158</f>
        <v>2.3041474654377909</v>
      </c>
      <c r="D158" s="161">
        <f t="shared" si="17"/>
        <v>2.3041474654377909</v>
      </c>
      <c r="E158" s="161">
        <f>-B158*Main!$B$18-2*Main!$B$18*loop_gain!$B$17*loop_gain!$B$18</f>
        <v>-193.96976958525349</v>
      </c>
      <c r="F158" s="161">
        <f>2*Main!$B$18*loop_gain!$B$17*loop_gain!$B$18*Helper_calcs!$B$14*Current_limit!B158</f>
        <v>1494.5806451612921</v>
      </c>
      <c r="G158" s="161">
        <f t="shared" si="19"/>
        <v>8.5796313159913264</v>
      </c>
      <c r="H158" s="161">
        <f>(Main!$B$18-Current_limit!G158)*Current_limit!G158/(Main!$B$18*loop_gain!$B$17*loop_gain!$B$18)</f>
        <v>0.35288001771953892</v>
      </c>
      <c r="I158" s="161">
        <f t="shared" si="20"/>
        <v>3.5471199822804618</v>
      </c>
      <c r="J158" s="161"/>
      <c r="K158" s="163">
        <f>IF(A158&gt;$B$15,IF(I158&gt;Helper_calcs!$B$15,23,3),0)</f>
        <v>0</v>
      </c>
      <c r="L158" s="162">
        <f t="shared" si="18"/>
        <v>0</v>
      </c>
      <c r="M158" s="162">
        <f t="shared" si="21"/>
        <v>0</v>
      </c>
      <c r="N158" s="161">
        <f t="shared" si="22"/>
        <v>2.1699999999999973</v>
      </c>
      <c r="O158" s="161">
        <f t="shared" si="23"/>
        <v>5</v>
      </c>
      <c r="P158" s="149">
        <f>IF(OR(M158=0,M158=3),loop_gain!$B$18,IF(Current_limit!M158=1,Current_limit!$B$12/(2*(Current_limit!N158-Helper_calcs!$B$15)),IF(OR(M158=2,M158=23),(Main!$B$18-Current_limit!O158)*Current_limit!O158/(Main!$B$18*loop_gain!$B$17*(Helper_calcs!$B$14-Helper_calcs!$B$15)),x)))</f>
        <v>2100000</v>
      </c>
      <c r="Q158" s="161"/>
    </row>
    <row r="159" spans="1:17" x14ac:dyDescent="0.25">
      <c r="A159">
        <f t="shared" si="16"/>
        <v>2.1799999999999971</v>
      </c>
      <c r="B159">
        <f>Main!$B$19/A159</f>
        <v>2.2935779816513793</v>
      </c>
      <c r="D159" s="161">
        <f t="shared" si="17"/>
        <v>2.2935779816513793</v>
      </c>
      <c r="E159" s="161">
        <f>-B159*Main!$B$18-2*Main!$B$18*loop_gain!$B$17*loop_gain!$B$18</f>
        <v>-193.84293577981654</v>
      </c>
      <c r="F159" s="161">
        <f>2*Main!$B$18*loop_gain!$B$17*loop_gain!$B$18*Helper_calcs!$B$14*Current_limit!B159</f>
        <v>1487.7247706422036</v>
      </c>
      <c r="G159" s="161">
        <f t="shared" si="19"/>
        <v>8.5372872835981877</v>
      </c>
      <c r="H159" s="161">
        <f>(Main!$B$18-Current_limit!G159)*Current_limit!G159/(Main!$B$18*loop_gain!$B$17*loop_gain!$B$18)</f>
        <v>0.35548548870239216</v>
      </c>
      <c r="I159" s="161">
        <f t="shared" si="20"/>
        <v>3.5445145112976086</v>
      </c>
      <c r="J159" s="161"/>
      <c r="K159" s="163">
        <f>IF(A159&gt;$B$15,IF(I159&gt;Helper_calcs!$B$15,23,3),0)</f>
        <v>0</v>
      </c>
      <c r="L159" s="162">
        <f t="shared" si="18"/>
        <v>0</v>
      </c>
      <c r="M159" s="162">
        <f t="shared" si="21"/>
        <v>0</v>
      </c>
      <c r="N159" s="161">
        <f t="shared" si="22"/>
        <v>2.1799999999999971</v>
      </c>
      <c r="O159" s="161">
        <f t="shared" si="23"/>
        <v>5</v>
      </c>
      <c r="P159" s="149">
        <f>IF(OR(M159=0,M159=3),loop_gain!$B$18,IF(Current_limit!M159=1,Current_limit!$B$12/(2*(Current_limit!N159-Helper_calcs!$B$15)),IF(OR(M159=2,M159=23),(Main!$B$18-Current_limit!O159)*Current_limit!O159/(Main!$B$18*loop_gain!$B$17*(Helper_calcs!$B$14-Helper_calcs!$B$15)),x)))</f>
        <v>2100000</v>
      </c>
      <c r="Q159" s="161"/>
    </row>
    <row r="160" spans="1:17" x14ac:dyDescent="0.25">
      <c r="A160">
        <f t="shared" si="16"/>
        <v>2.1899999999999968</v>
      </c>
      <c r="B160">
        <f>Main!$B$19/A160</f>
        <v>2.2831050228310534</v>
      </c>
      <c r="D160" s="161">
        <f t="shared" si="17"/>
        <v>2.2831050228310534</v>
      </c>
      <c r="E160" s="161">
        <f>-B160*Main!$B$18-2*Main!$B$18*loop_gain!$B$17*loop_gain!$B$18</f>
        <v>-193.71726027397264</v>
      </c>
      <c r="F160" s="161">
        <f>2*Main!$B$18*loop_gain!$B$17*loop_gain!$B$18*Helper_calcs!$B$14*Current_limit!B160</f>
        <v>1480.931506849317</v>
      </c>
      <c r="G160" s="161">
        <f t="shared" si="19"/>
        <v>8.4954112396964359</v>
      </c>
      <c r="H160" s="161">
        <f>(Main!$B$18-Current_limit!G160)*Current_limit!G160/(Main!$B$18*loop_gain!$B$17*loop_gain!$B$18)</f>
        <v>0.35801975402593433</v>
      </c>
      <c r="I160" s="161">
        <f t="shared" si="20"/>
        <v>3.5419802459740661</v>
      </c>
      <c r="J160" s="161"/>
      <c r="K160" s="163">
        <f>IF(A160&gt;$B$15,IF(I160&gt;Helper_calcs!$B$15,23,3),0)</f>
        <v>0</v>
      </c>
      <c r="L160" s="162">
        <f t="shared" si="18"/>
        <v>0</v>
      </c>
      <c r="M160" s="162">
        <f t="shared" si="21"/>
        <v>0</v>
      </c>
      <c r="N160" s="161">
        <f t="shared" si="22"/>
        <v>2.1899999999999968</v>
      </c>
      <c r="O160" s="161">
        <f t="shared" si="23"/>
        <v>5</v>
      </c>
      <c r="P160" s="149">
        <f>IF(OR(M160=0,M160=3),loop_gain!$B$18,IF(Current_limit!M160=1,Current_limit!$B$12/(2*(Current_limit!N160-Helper_calcs!$B$15)),IF(OR(M160=2,M160=23),(Main!$B$18-Current_limit!O160)*Current_limit!O160/(Main!$B$18*loop_gain!$B$17*(Helper_calcs!$B$14-Helper_calcs!$B$15)),x)))</f>
        <v>2100000</v>
      </c>
      <c r="Q160" s="161"/>
    </row>
    <row r="161" spans="1:17" x14ac:dyDescent="0.25">
      <c r="A161">
        <f t="shared" ref="A161:A224" si="24">A160+0.01</f>
        <v>2.1999999999999966</v>
      </c>
      <c r="B161">
        <f>Main!$B$19/A161</f>
        <v>2.272727272727276</v>
      </c>
      <c r="D161" s="161">
        <f t="shared" si="17"/>
        <v>2.272727272727276</v>
      </c>
      <c r="E161" s="161">
        <f>-B161*Main!$B$18-2*Main!$B$18*loop_gain!$B$17*loop_gain!$B$18</f>
        <v>-193.5927272727273</v>
      </c>
      <c r="F161" s="161">
        <f>2*Main!$B$18*loop_gain!$B$17*loop_gain!$B$18*Helper_calcs!$B$14*Current_limit!B161</f>
        <v>1474.2000000000019</v>
      </c>
      <c r="G161" s="161">
        <f t="shared" si="19"/>
        <v>8.4539946215774062</v>
      </c>
      <c r="H161" s="161">
        <f>(Main!$B$18-Current_limit!G161)*Current_limit!G161/(Main!$B$18*loop_gain!$B$17*loop_gain!$B$18)</f>
        <v>0.36048473301189471</v>
      </c>
      <c r="I161" s="161">
        <f t="shared" si="20"/>
        <v>3.539515266988106</v>
      </c>
      <c r="J161" s="161"/>
      <c r="K161" s="163">
        <f>IF(A161&gt;$B$15,IF(I161&gt;Helper_calcs!$B$15,23,3),0)</f>
        <v>0</v>
      </c>
      <c r="L161" s="162">
        <f t="shared" si="18"/>
        <v>0</v>
      </c>
      <c r="M161" s="162">
        <f t="shared" si="21"/>
        <v>0</v>
      </c>
      <c r="N161" s="161">
        <f t="shared" si="22"/>
        <v>2.1999999999999966</v>
      </c>
      <c r="O161" s="161">
        <f t="shared" si="23"/>
        <v>5</v>
      </c>
      <c r="P161" s="149">
        <f>IF(OR(M161=0,M161=3),loop_gain!$B$18,IF(Current_limit!M161=1,Current_limit!$B$12/(2*(Current_limit!N161-Helper_calcs!$B$15)),IF(OR(M161=2,M161=23),(Main!$B$18-Current_limit!O161)*Current_limit!O161/(Main!$B$18*loop_gain!$B$17*(Helper_calcs!$B$14-Helper_calcs!$B$15)),x)))</f>
        <v>2100000</v>
      </c>
      <c r="Q161" s="161"/>
    </row>
    <row r="162" spans="1:17" x14ac:dyDescent="0.25">
      <c r="A162">
        <f t="shared" si="24"/>
        <v>2.2099999999999964</v>
      </c>
      <c r="B162">
        <f>Main!$B$19/A162</f>
        <v>2.2624434389140307</v>
      </c>
      <c r="D162" s="161">
        <f t="shared" si="17"/>
        <v>2.2624434389140307</v>
      </c>
      <c r="E162" s="161">
        <f>-B162*Main!$B$18-2*Main!$B$18*loop_gain!$B$17*loop_gain!$B$18</f>
        <v>-193.46932126696836</v>
      </c>
      <c r="F162" s="161">
        <f>2*Main!$B$18*loop_gain!$B$17*loop_gain!$B$18*Helper_calcs!$B$14*Current_limit!B162</f>
        <v>1467.5294117647079</v>
      </c>
      <c r="G162" s="161">
        <f t="shared" si="19"/>
        <v>8.4130290923762363</v>
      </c>
      <c r="H162" s="161">
        <f>(Main!$B$18-Current_limit!G162)*Current_limit!G162/(Main!$B$18*loop_gain!$B$17*loop_gain!$B$18)</f>
        <v>0.36288228233941699</v>
      </c>
      <c r="I162" s="161">
        <f t="shared" si="20"/>
        <v>3.5371177176605824</v>
      </c>
      <c r="J162" s="161"/>
      <c r="K162" s="163">
        <f>IF(A162&gt;$B$15,IF(I162&gt;Helper_calcs!$B$15,23,3),0)</f>
        <v>0</v>
      </c>
      <c r="L162" s="162">
        <f t="shared" si="18"/>
        <v>0</v>
      </c>
      <c r="M162" s="162">
        <f t="shared" si="21"/>
        <v>0</v>
      </c>
      <c r="N162" s="161">
        <f t="shared" si="22"/>
        <v>2.2099999999999964</v>
      </c>
      <c r="O162" s="161">
        <f t="shared" si="23"/>
        <v>5</v>
      </c>
      <c r="P162" s="149">
        <f>IF(OR(M162=0,M162=3),loop_gain!$B$18,IF(Current_limit!M162=1,Current_limit!$B$12/(2*(Current_limit!N162-Helper_calcs!$B$15)),IF(OR(M162=2,M162=23),(Main!$B$18-Current_limit!O162)*Current_limit!O162/(Main!$B$18*loop_gain!$B$17*(Helper_calcs!$B$14-Helper_calcs!$B$15)),x)))</f>
        <v>2100000</v>
      </c>
      <c r="Q162" s="161"/>
    </row>
    <row r="163" spans="1:17" x14ac:dyDescent="0.25">
      <c r="A163">
        <f t="shared" si="24"/>
        <v>2.2199999999999962</v>
      </c>
      <c r="B163">
        <f>Main!$B$19/A163</f>
        <v>2.2522522522522559</v>
      </c>
      <c r="D163" s="161">
        <f t="shared" si="17"/>
        <v>2.2522522522522559</v>
      </c>
      <c r="E163" s="161">
        <f>-B163*Main!$B$18-2*Main!$B$18*loop_gain!$B$17*loop_gain!$B$18</f>
        <v>-193.34702702702705</v>
      </c>
      <c r="F163" s="161">
        <f>2*Main!$B$18*loop_gain!$B$17*loop_gain!$B$18*Helper_calcs!$B$14*Current_limit!B163</f>
        <v>1460.918918918921</v>
      </c>
      <c r="G163" s="161">
        <f t="shared" si="19"/>
        <v>8.3725065331836124</v>
      </c>
      <c r="H163" s="161">
        <f>(Main!$B$18-Current_limit!G163)*Current_limit!G163/(Main!$B$18*loop_gain!$B$17*loop_gain!$B$18)</f>
        <v>0.3652141985329615</v>
      </c>
      <c r="I163" s="161">
        <f t="shared" si="20"/>
        <v>3.534785801467037</v>
      </c>
      <c r="J163" s="161"/>
      <c r="K163" s="163">
        <f>IF(A163&gt;$B$15,IF(I163&gt;Helper_calcs!$B$15,23,3),0)</f>
        <v>0</v>
      </c>
      <c r="L163" s="162">
        <f t="shared" si="18"/>
        <v>0</v>
      </c>
      <c r="M163" s="162">
        <f t="shared" si="21"/>
        <v>0</v>
      </c>
      <c r="N163" s="161">
        <f t="shared" si="22"/>
        <v>2.2199999999999962</v>
      </c>
      <c r="O163" s="161">
        <f t="shared" si="23"/>
        <v>4.9999999999999991</v>
      </c>
      <c r="P163" s="149">
        <f>IF(OR(M163=0,M163=3),loop_gain!$B$18,IF(Current_limit!M163=1,Current_limit!$B$12/(2*(Current_limit!N163-Helper_calcs!$B$15)),IF(OR(M163=2,M163=23),(Main!$B$18-Current_limit!O163)*Current_limit!O163/(Main!$B$18*loop_gain!$B$17*(Helper_calcs!$B$14-Helper_calcs!$B$15)),x)))</f>
        <v>2100000</v>
      </c>
      <c r="Q163" s="161"/>
    </row>
    <row r="164" spans="1:17" x14ac:dyDescent="0.25">
      <c r="A164">
        <f t="shared" si="24"/>
        <v>2.229999999999996</v>
      </c>
      <c r="B164">
        <f>Main!$B$19/A164</f>
        <v>2.2421524663677173</v>
      </c>
      <c r="D164" s="161">
        <f t="shared" si="17"/>
        <v>2.2421524663677173</v>
      </c>
      <c r="E164" s="161">
        <f>-B164*Main!$B$18-2*Main!$B$18*loop_gain!$B$17*loop_gain!$B$18</f>
        <v>-193.22582959641261</v>
      </c>
      <c r="F164" s="161">
        <f>2*Main!$B$18*loop_gain!$B$17*loop_gain!$B$18*Helper_calcs!$B$14*Current_limit!B164</f>
        <v>1454.3677130044869</v>
      </c>
      <c r="G164" s="161">
        <f t="shared" si="19"/>
        <v>8.3324190355020082</v>
      </c>
      <c r="H164" s="161">
        <f>(Main!$B$18-Current_limit!G164)*Current_limit!G164/(Main!$B$18*loop_gain!$B$17*loop_gain!$B$18)</f>
        <v>0.36748222033222561</v>
      </c>
      <c r="I164" s="161">
        <f t="shared" si="20"/>
        <v>3.532517779667776</v>
      </c>
      <c r="J164" s="161"/>
      <c r="K164" s="163">
        <f>IF(A164&gt;$B$15,IF(I164&gt;Helper_calcs!$B$15,23,3),0)</f>
        <v>0</v>
      </c>
      <c r="L164" s="162">
        <f t="shared" si="18"/>
        <v>0</v>
      </c>
      <c r="M164" s="162">
        <f t="shared" si="21"/>
        <v>0</v>
      </c>
      <c r="N164" s="161">
        <f t="shared" si="22"/>
        <v>2.229999999999996</v>
      </c>
      <c r="O164" s="161">
        <f t="shared" si="23"/>
        <v>5.0000000000000009</v>
      </c>
      <c r="P164" s="149">
        <f>IF(OR(M164=0,M164=3),loop_gain!$B$18,IF(Current_limit!M164=1,Current_limit!$B$12/(2*(Current_limit!N164-Helper_calcs!$B$15)),IF(OR(M164=2,M164=23),(Main!$B$18-Current_limit!O164)*Current_limit!O164/(Main!$B$18*loop_gain!$B$17*(Helper_calcs!$B$14-Helper_calcs!$B$15)),x)))</f>
        <v>2100000</v>
      </c>
      <c r="Q164" s="161"/>
    </row>
    <row r="165" spans="1:17" x14ac:dyDescent="0.25">
      <c r="A165">
        <f t="shared" si="24"/>
        <v>2.2399999999999958</v>
      </c>
      <c r="B165">
        <f>Main!$B$19/A165</f>
        <v>2.2321428571428612</v>
      </c>
      <c r="D165" s="161">
        <f t="shared" si="17"/>
        <v>2.2321428571428612</v>
      </c>
      <c r="E165" s="161">
        <f>-B165*Main!$B$18-2*Main!$B$18*loop_gain!$B$17*loop_gain!$B$18</f>
        <v>-193.10571428571433</v>
      </c>
      <c r="F165" s="161">
        <f>2*Main!$B$18*loop_gain!$B$17*loop_gain!$B$18*Helper_calcs!$B$14*Current_limit!B165</f>
        <v>1447.8750000000025</v>
      </c>
      <c r="G165" s="161">
        <f t="shared" si="19"/>
        <v>8.2927588940283385</v>
      </c>
      <c r="H165" s="161">
        <f>(Main!$B$18-Current_limit!G165)*Current_limit!G165/(Main!$B$18*loop_gain!$B$17*loop_gain!$B$18)</f>
        <v>0.36968803095062475</v>
      </c>
      <c r="I165" s="161">
        <f t="shared" si="20"/>
        <v>3.5303119690493769</v>
      </c>
      <c r="J165" s="161"/>
      <c r="K165" s="163">
        <f>IF(A165&gt;$B$15,IF(I165&gt;Helper_calcs!$B$15,23,3),0)</f>
        <v>0</v>
      </c>
      <c r="L165" s="162">
        <f t="shared" si="18"/>
        <v>0</v>
      </c>
      <c r="M165" s="162">
        <f t="shared" si="21"/>
        <v>0</v>
      </c>
      <c r="N165" s="161">
        <f t="shared" si="22"/>
        <v>2.2399999999999958</v>
      </c>
      <c r="O165" s="161">
        <f t="shared" si="23"/>
        <v>5</v>
      </c>
      <c r="P165" s="149">
        <f>IF(OR(M165=0,M165=3),loop_gain!$B$18,IF(Current_limit!M165=1,Current_limit!$B$12/(2*(Current_limit!N165-Helper_calcs!$B$15)),IF(OR(M165=2,M165=23),(Main!$B$18-Current_limit!O165)*Current_limit!O165/(Main!$B$18*loop_gain!$B$17*(Helper_calcs!$B$14-Helper_calcs!$B$15)),x)))</f>
        <v>2100000</v>
      </c>
      <c r="Q165" s="161"/>
    </row>
    <row r="166" spans="1:17" x14ac:dyDescent="0.25">
      <c r="A166">
        <f t="shared" si="24"/>
        <v>2.2499999999999956</v>
      </c>
      <c r="B166">
        <f>Main!$B$19/A166</f>
        <v>2.2222222222222268</v>
      </c>
      <c r="D166" s="161">
        <f t="shared" si="17"/>
        <v>2.2222222222222268</v>
      </c>
      <c r="E166" s="161">
        <f>-B166*Main!$B$18-2*Main!$B$18*loop_gain!$B$17*loop_gain!$B$18</f>
        <v>-192.98666666666671</v>
      </c>
      <c r="F166" s="161">
        <f>2*Main!$B$18*loop_gain!$B$17*loop_gain!$B$18*Helper_calcs!$B$14*Current_limit!B166</f>
        <v>1441.4400000000028</v>
      </c>
      <c r="G166" s="161">
        <f t="shared" si="19"/>
        <v>8.2535185997461848</v>
      </c>
      <c r="H166" s="161">
        <f>(Main!$B$18-Current_limit!G166)*Current_limit!G166/(Main!$B$18*loop_gain!$B$17*loop_gain!$B$18)</f>
        <v>0.37183326022845109</v>
      </c>
      <c r="I166" s="161">
        <f t="shared" si="20"/>
        <v>3.5281667397715504</v>
      </c>
      <c r="J166" s="161"/>
      <c r="K166" s="163">
        <f>IF(A166&gt;$B$15,IF(I166&gt;Helper_calcs!$B$15,23,3),0)</f>
        <v>0</v>
      </c>
      <c r="L166" s="162">
        <f t="shared" si="18"/>
        <v>0</v>
      </c>
      <c r="M166" s="162">
        <f t="shared" si="21"/>
        <v>0</v>
      </c>
      <c r="N166" s="161">
        <f t="shared" si="22"/>
        <v>2.2499999999999956</v>
      </c>
      <c r="O166" s="161">
        <f t="shared" si="23"/>
        <v>5</v>
      </c>
      <c r="P166" s="149">
        <f>IF(OR(M166=0,M166=3),loop_gain!$B$18,IF(Current_limit!M166=1,Current_limit!$B$12/(2*(Current_limit!N166-Helper_calcs!$B$15)),IF(OR(M166=2,M166=23),(Main!$B$18-Current_limit!O166)*Current_limit!O166/(Main!$B$18*loop_gain!$B$17*(Helper_calcs!$B$14-Helper_calcs!$B$15)),x)))</f>
        <v>2100000</v>
      </c>
      <c r="Q166" s="161"/>
    </row>
    <row r="167" spans="1:17" x14ac:dyDescent="0.25">
      <c r="A167">
        <f t="shared" si="24"/>
        <v>2.2599999999999953</v>
      </c>
      <c r="B167">
        <f>Main!$B$19/A167</f>
        <v>2.2123893805309782</v>
      </c>
      <c r="D167" s="161">
        <f t="shared" si="17"/>
        <v>2.2123893805309782</v>
      </c>
      <c r="E167" s="161">
        <f>-B167*Main!$B$18-2*Main!$B$18*loop_gain!$B$17*loop_gain!$B$18</f>
        <v>-192.86867256637174</v>
      </c>
      <c r="F167" s="161">
        <f>2*Main!$B$18*loop_gain!$B$17*loop_gain!$B$18*Helper_calcs!$B$14*Current_limit!B167</f>
        <v>1435.0619469026578</v>
      </c>
      <c r="G167" s="161">
        <f t="shared" si="19"/>
        <v>8.2146908333114563</v>
      </c>
      <c r="H167" s="161">
        <f>(Main!$B$18-Current_limit!G167)*Current_limit!G167/(Main!$B$18*loop_gain!$B$17*loop_gain!$B$18)</f>
        <v>0.37391948668646235</v>
      </c>
      <c r="I167" s="161">
        <f t="shared" si="20"/>
        <v>3.5260805133135391</v>
      </c>
      <c r="J167" s="161"/>
      <c r="K167" s="163">
        <f>IF(A167&gt;$B$15,IF(I167&gt;Helper_calcs!$B$15,23,3),0)</f>
        <v>0</v>
      </c>
      <c r="L167" s="162">
        <f t="shared" si="18"/>
        <v>0</v>
      </c>
      <c r="M167" s="162">
        <f t="shared" si="21"/>
        <v>0</v>
      </c>
      <c r="N167" s="161">
        <f t="shared" si="22"/>
        <v>2.2599999999999953</v>
      </c>
      <c r="O167" s="161">
        <f t="shared" si="23"/>
        <v>5.0000000000000009</v>
      </c>
      <c r="P167" s="149">
        <f>IF(OR(M167=0,M167=3),loop_gain!$B$18,IF(Current_limit!M167=1,Current_limit!$B$12/(2*(Current_limit!N167-Helper_calcs!$B$15)),IF(OR(M167=2,M167=23),(Main!$B$18-Current_limit!O167)*Current_limit!O167/(Main!$B$18*loop_gain!$B$17*(Helper_calcs!$B$14-Helper_calcs!$B$15)),x)))</f>
        <v>2100000</v>
      </c>
      <c r="Q167" s="161"/>
    </row>
    <row r="168" spans="1:17" x14ac:dyDescent="0.25">
      <c r="A168">
        <f t="shared" si="24"/>
        <v>2.2699999999999951</v>
      </c>
      <c r="B168">
        <f>Main!$B$19/A168</f>
        <v>2.2026431718061721</v>
      </c>
      <c r="D168" s="161">
        <f t="shared" si="17"/>
        <v>2.2026431718061721</v>
      </c>
      <c r="E168" s="161">
        <f>-B168*Main!$B$18-2*Main!$B$18*loop_gain!$B$17*loop_gain!$B$18</f>
        <v>-192.75171806167407</v>
      </c>
      <c r="F168" s="161">
        <f>2*Main!$B$18*loop_gain!$B$17*loop_gain!$B$18*Helper_calcs!$B$14*Current_limit!B168</f>
        <v>1428.7400881057297</v>
      </c>
      <c r="G168" s="161">
        <f t="shared" si="19"/>
        <v>8.176268458716681</v>
      </c>
      <c r="H168" s="161">
        <f>(Main!$B$18-Current_limit!G168)*Current_limit!G168/(Main!$B$18*loop_gain!$B$17*loop_gain!$B$18)</f>
        <v>0.37594823948526845</v>
      </c>
      <c r="I168" s="161">
        <f t="shared" si="20"/>
        <v>3.5240517605147312</v>
      </c>
      <c r="J168" s="161"/>
      <c r="K168" s="163">
        <f>IF(A168&gt;$B$15,IF(I168&gt;Helper_calcs!$B$15,23,3),0)</f>
        <v>0</v>
      </c>
      <c r="L168" s="162">
        <f t="shared" si="18"/>
        <v>0</v>
      </c>
      <c r="M168" s="162">
        <f t="shared" si="21"/>
        <v>0</v>
      </c>
      <c r="N168" s="161">
        <f t="shared" si="22"/>
        <v>2.2699999999999951</v>
      </c>
      <c r="O168" s="161">
        <f t="shared" si="23"/>
        <v>5</v>
      </c>
      <c r="P168" s="149">
        <f>IF(OR(M168=0,M168=3),loop_gain!$B$18,IF(Current_limit!M168=1,Current_limit!$B$12/(2*(Current_limit!N168-Helper_calcs!$B$15)),IF(OR(M168=2,M168=23),(Main!$B$18-Current_limit!O168)*Current_limit!O168/(Main!$B$18*loop_gain!$B$17*(Helper_calcs!$B$14-Helper_calcs!$B$15)),x)))</f>
        <v>2100000</v>
      </c>
      <c r="Q168" s="161"/>
    </row>
    <row r="169" spans="1:17" x14ac:dyDescent="0.25">
      <c r="A169">
        <f t="shared" si="24"/>
        <v>2.2799999999999949</v>
      </c>
      <c r="B169">
        <f>Main!$B$19/A169</f>
        <v>2.1929824561403559</v>
      </c>
      <c r="D169" s="161">
        <f t="shared" si="17"/>
        <v>2.1929824561403559</v>
      </c>
      <c r="E169" s="161">
        <f>-B169*Main!$B$18-2*Main!$B$18*loop_gain!$B$17*loop_gain!$B$18</f>
        <v>-192.63578947368427</v>
      </c>
      <c r="F169" s="161">
        <f>2*Main!$B$18*loop_gain!$B$17*loop_gain!$B$18*Helper_calcs!$B$14*Current_limit!B169</f>
        <v>1422.4736842105294</v>
      </c>
      <c r="G169" s="161">
        <f t="shared" si="19"/>
        <v>8.1382445172197908</v>
      </c>
      <c r="H169" s="161">
        <f>(Main!$B$18-Current_limit!G169)*Current_limit!G169/(Main!$B$18*loop_gain!$B$17*loop_gain!$B$18)</f>
        <v>0.37792100029556885</v>
      </c>
      <c r="I169" s="161">
        <f t="shared" si="20"/>
        <v>3.5220789997044317</v>
      </c>
      <c r="J169" s="161"/>
      <c r="K169" s="163">
        <f>IF(A169&gt;$B$15,IF(I169&gt;Helper_calcs!$B$15,23,3),0)</f>
        <v>0</v>
      </c>
      <c r="L169" s="162">
        <f t="shared" si="18"/>
        <v>0</v>
      </c>
      <c r="M169" s="162">
        <f t="shared" si="21"/>
        <v>0</v>
      </c>
      <c r="N169" s="161">
        <f t="shared" si="22"/>
        <v>2.2799999999999949</v>
      </c>
      <c r="O169" s="161">
        <f t="shared" si="23"/>
        <v>5</v>
      </c>
      <c r="P169" s="149">
        <f>IF(OR(M169=0,M169=3),loop_gain!$B$18,IF(Current_limit!M169=1,Current_limit!$B$12/(2*(Current_limit!N169-Helper_calcs!$B$15)),IF(OR(M169=2,M169=23),(Main!$B$18-Current_limit!O169)*Current_limit!O169/(Main!$B$18*loop_gain!$B$17*(Helper_calcs!$B$14-Helper_calcs!$B$15)),x)))</f>
        <v>2100000</v>
      </c>
      <c r="Q169" s="161"/>
    </row>
    <row r="170" spans="1:17" x14ac:dyDescent="0.25">
      <c r="A170">
        <f t="shared" si="24"/>
        <v>2.2899999999999947</v>
      </c>
      <c r="B170">
        <f>Main!$B$19/A170</f>
        <v>2.183406113537123</v>
      </c>
      <c r="D170" s="161">
        <f t="shared" si="17"/>
        <v>2.183406113537123</v>
      </c>
      <c r="E170" s="161">
        <f>-B170*Main!$B$18-2*Main!$B$18*loop_gain!$B$17*loop_gain!$B$18</f>
        <v>-192.52087336244546</v>
      </c>
      <c r="F170" s="161">
        <f>2*Main!$B$18*loop_gain!$B$17*loop_gain!$B$18*Helper_calcs!$B$14*Current_limit!B170</f>
        <v>1416.2620087336275</v>
      </c>
      <c r="G170" s="161">
        <f t="shared" si="19"/>
        <v>8.1006122215240595</v>
      </c>
      <c r="H170" s="161">
        <f>(Main!$B$18-Current_limit!G170)*Current_limit!G170/(Main!$B$18*loop_gain!$B$17*loop_gain!$B$18)</f>
        <v>0.37983920508397978</v>
      </c>
      <c r="I170" s="161">
        <f t="shared" si="20"/>
        <v>3.5201607949160207</v>
      </c>
      <c r="J170" s="161"/>
      <c r="K170" s="163">
        <f>IF(A170&gt;$B$15,IF(I170&gt;Helper_calcs!$B$15,23,3),0)</f>
        <v>0</v>
      </c>
      <c r="L170" s="162">
        <f t="shared" si="18"/>
        <v>0</v>
      </c>
      <c r="M170" s="162">
        <f t="shared" si="21"/>
        <v>0</v>
      </c>
      <c r="N170" s="161">
        <f t="shared" si="22"/>
        <v>2.2899999999999947</v>
      </c>
      <c r="O170" s="161">
        <f t="shared" si="23"/>
        <v>5</v>
      </c>
      <c r="P170" s="149">
        <f>IF(OR(M170=0,M170=3),loop_gain!$B$18,IF(Current_limit!M170=1,Current_limit!$B$12/(2*(Current_limit!N170-Helper_calcs!$B$15)),IF(OR(M170=2,M170=23),(Main!$B$18-Current_limit!O170)*Current_limit!O170/(Main!$B$18*loop_gain!$B$17*(Helper_calcs!$B$14-Helper_calcs!$B$15)),x)))</f>
        <v>2100000</v>
      </c>
      <c r="Q170" s="161"/>
    </row>
    <row r="171" spans="1:17" x14ac:dyDescent="0.25">
      <c r="A171">
        <f t="shared" si="24"/>
        <v>2.2999999999999945</v>
      </c>
      <c r="B171">
        <f>Main!$B$19/A171</f>
        <v>2.1739130434782661</v>
      </c>
      <c r="D171" s="161">
        <f t="shared" si="17"/>
        <v>2.1739130434782661</v>
      </c>
      <c r="E171" s="161">
        <f>-B171*Main!$B$18-2*Main!$B$18*loop_gain!$B$17*loop_gain!$B$18</f>
        <v>-192.40695652173918</v>
      </c>
      <c r="F171" s="161">
        <f>2*Main!$B$18*loop_gain!$B$17*loop_gain!$B$18*Helper_calcs!$B$14*Current_limit!B171</f>
        <v>1410.1043478260901</v>
      </c>
      <c r="G171" s="161">
        <f t="shared" si="19"/>
        <v>8.063364950196874</v>
      </c>
      <c r="H171" s="161">
        <f>(Main!$B$18-Current_limit!G171)*Current_limit!G171/(Main!$B$18*loop_gain!$B$17*loop_gain!$B$18)</f>
        <v>0.3817042458188919</v>
      </c>
      <c r="I171" s="161">
        <f t="shared" si="20"/>
        <v>3.5182957541811075</v>
      </c>
      <c r="J171" s="161"/>
      <c r="K171" s="163">
        <f>IF(A171&gt;$B$15,IF(I171&gt;Helper_calcs!$B$15,23,3),0)</f>
        <v>0</v>
      </c>
      <c r="L171" s="162">
        <f t="shared" si="18"/>
        <v>0</v>
      </c>
      <c r="M171" s="162">
        <f t="shared" si="21"/>
        <v>0</v>
      </c>
      <c r="N171" s="161">
        <f t="shared" si="22"/>
        <v>2.2999999999999945</v>
      </c>
      <c r="O171" s="161">
        <f t="shared" si="23"/>
        <v>5</v>
      </c>
      <c r="P171" s="149">
        <f>IF(OR(M171=0,M171=3),loop_gain!$B$18,IF(Current_limit!M171=1,Current_limit!$B$12/(2*(Current_limit!N171-Helper_calcs!$B$15)),IF(OR(M171=2,M171=23),(Main!$B$18-Current_limit!O171)*Current_limit!O171/(Main!$B$18*loop_gain!$B$17*(Helper_calcs!$B$14-Helper_calcs!$B$15)),x)))</f>
        <v>2100000</v>
      </c>
      <c r="Q171" s="161"/>
    </row>
    <row r="172" spans="1:17" x14ac:dyDescent="0.25">
      <c r="A172">
        <f t="shared" si="24"/>
        <v>2.3099999999999943</v>
      </c>
      <c r="B172">
        <f>Main!$B$19/A172</f>
        <v>2.1645021645021698</v>
      </c>
      <c r="D172" s="161">
        <f t="shared" si="17"/>
        <v>2.1645021645021698</v>
      </c>
      <c r="E172" s="161">
        <f>-B172*Main!$B$18-2*Main!$B$18*loop_gain!$B$17*loop_gain!$B$18</f>
        <v>-192.29402597402603</v>
      </c>
      <c r="F172" s="161">
        <f>2*Main!$B$18*loop_gain!$B$17*loop_gain!$B$18*Helper_calcs!$B$14*Current_limit!B172</f>
        <v>1404.0000000000032</v>
      </c>
      <c r="G172" s="161">
        <f t="shared" si="19"/>
        <v>8.026496242315444</v>
      </c>
      <c r="H172" s="161">
        <f>(Main!$B$18-Current_limit!G172)*Current_limit!G172/(Main!$B$18*loop_gain!$B$17*loop_gain!$B$18)</f>
        <v>0.38351747210054576</v>
      </c>
      <c r="I172" s="161">
        <f t="shared" si="20"/>
        <v>3.5164825278994534</v>
      </c>
      <c r="J172" s="161"/>
      <c r="K172" s="163">
        <f>IF(A172&gt;$B$15,IF(I172&gt;Helper_calcs!$B$15,23,3),0)</f>
        <v>0</v>
      </c>
      <c r="L172" s="162">
        <f t="shared" si="18"/>
        <v>0</v>
      </c>
      <c r="M172" s="162">
        <f t="shared" si="21"/>
        <v>0</v>
      </c>
      <c r="N172" s="161">
        <f t="shared" si="22"/>
        <v>2.3099999999999943</v>
      </c>
      <c r="O172" s="161">
        <f t="shared" si="23"/>
        <v>5</v>
      </c>
      <c r="P172" s="149">
        <f>IF(OR(M172=0,M172=3),loop_gain!$B$18,IF(Current_limit!M172=1,Current_limit!$B$12/(2*(Current_limit!N172-Helper_calcs!$B$15)),IF(OR(M172=2,M172=23),(Main!$B$18-Current_limit!O172)*Current_limit!O172/(Main!$B$18*loop_gain!$B$17*(Helper_calcs!$B$14-Helper_calcs!$B$15)),x)))</f>
        <v>2100000</v>
      </c>
      <c r="Q172" s="161"/>
    </row>
    <row r="173" spans="1:17" x14ac:dyDescent="0.25">
      <c r="A173">
        <f t="shared" si="24"/>
        <v>2.3199999999999941</v>
      </c>
      <c r="B173">
        <f>Main!$B$19/A173</f>
        <v>2.155172413793109</v>
      </c>
      <c r="D173" s="161">
        <f t="shared" si="17"/>
        <v>2.155172413793109</v>
      </c>
      <c r="E173" s="161">
        <f>-B173*Main!$B$18-2*Main!$B$18*loop_gain!$B$17*loop_gain!$B$18</f>
        <v>-192.18206896551732</v>
      </c>
      <c r="F173" s="161">
        <f>2*Main!$B$18*loop_gain!$B$17*loop_gain!$B$18*Helper_calcs!$B$14*Current_limit!B173</f>
        <v>1397.9482758620723</v>
      </c>
      <c r="G173" s="161">
        <f t="shared" si="19"/>
        <v>7.9899997923284118</v>
      </c>
      <c r="H173" s="161">
        <f>(Main!$B$18-Current_limit!G173)*Current_limit!G173/(Main!$B$18*loop_gain!$B$17*loop_gain!$B$18)</f>
        <v>0.38528019271925062</v>
      </c>
      <c r="I173" s="161">
        <f t="shared" si="20"/>
        <v>3.5147198072807484</v>
      </c>
      <c r="J173" s="161"/>
      <c r="K173" s="163">
        <f>IF(A173&gt;$B$15,IF(I173&gt;Helper_calcs!$B$15,23,3),0)</f>
        <v>0</v>
      </c>
      <c r="L173" s="162">
        <f t="shared" si="18"/>
        <v>0</v>
      </c>
      <c r="M173" s="162">
        <f t="shared" si="21"/>
        <v>0</v>
      </c>
      <c r="N173" s="161">
        <f t="shared" si="22"/>
        <v>2.3199999999999941</v>
      </c>
      <c r="O173" s="161">
        <f t="shared" si="23"/>
        <v>5</v>
      </c>
      <c r="P173" s="149">
        <f>IF(OR(M173=0,M173=3),loop_gain!$B$18,IF(Current_limit!M173=1,Current_limit!$B$12/(2*(Current_limit!N173-Helper_calcs!$B$15)),IF(OR(M173=2,M173=23),(Main!$B$18-Current_limit!O173)*Current_limit!O173/(Main!$B$18*loop_gain!$B$17*(Helper_calcs!$B$14-Helper_calcs!$B$15)),x)))</f>
        <v>2100000</v>
      </c>
      <c r="Q173" s="161"/>
    </row>
    <row r="174" spans="1:17" x14ac:dyDescent="0.25">
      <c r="A174">
        <f t="shared" si="24"/>
        <v>2.3299999999999939</v>
      </c>
      <c r="B174">
        <f>Main!$B$19/A174</f>
        <v>2.1459227467811215</v>
      </c>
      <c r="D174" s="161">
        <f t="shared" si="17"/>
        <v>2.1459227467811215</v>
      </c>
      <c r="E174" s="161">
        <f>-B174*Main!$B$18-2*Main!$B$18*loop_gain!$B$17*loop_gain!$B$18</f>
        <v>-192.07107296137346</v>
      </c>
      <c r="F174" s="161">
        <f>2*Main!$B$18*loop_gain!$B$17*loop_gain!$B$18*Helper_calcs!$B$14*Current_limit!B174</f>
        <v>1391.9484978540806</v>
      </c>
      <c r="G174" s="161">
        <f t="shared" si="19"/>
        <v>7.9538694451229333</v>
      </c>
      <c r="H174" s="161">
        <f>(Main!$B$18-Current_limit!G174)*Current_limit!G174/(Main!$B$18*loop_gain!$B$17*loop_gain!$B$18)</f>
        <v>0.38699367714544253</v>
      </c>
      <c r="I174" s="161">
        <f t="shared" si="20"/>
        <v>3.5130063228545558</v>
      </c>
      <c r="J174" s="161"/>
      <c r="K174" s="163">
        <f>IF(A174&gt;$B$15,IF(I174&gt;Helper_calcs!$B$15,23,3),0)</f>
        <v>0</v>
      </c>
      <c r="L174" s="162">
        <f t="shared" si="18"/>
        <v>0</v>
      </c>
      <c r="M174" s="162">
        <f t="shared" si="21"/>
        <v>0</v>
      </c>
      <c r="N174" s="161">
        <f t="shared" si="22"/>
        <v>2.3299999999999939</v>
      </c>
      <c r="O174" s="161">
        <f t="shared" si="23"/>
        <v>5</v>
      </c>
      <c r="P174" s="149">
        <f>IF(OR(M174=0,M174=3),loop_gain!$B$18,IF(Current_limit!M174=1,Current_limit!$B$12/(2*(Current_limit!N174-Helper_calcs!$B$15)),IF(OR(M174=2,M174=23),(Main!$B$18-Current_limit!O174)*Current_limit!O174/(Main!$B$18*loop_gain!$B$17*(Helper_calcs!$B$14-Helper_calcs!$B$15)),x)))</f>
        <v>2100000</v>
      </c>
      <c r="Q174" s="161"/>
    </row>
    <row r="175" spans="1:17" x14ac:dyDescent="0.25">
      <c r="A175">
        <f t="shared" si="24"/>
        <v>2.3399999999999936</v>
      </c>
      <c r="B175">
        <f>Main!$B$19/A175</f>
        <v>2.1367521367521425</v>
      </c>
      <c r="D175" s="161">
        <f t="shared" si="17"/>
        <v>2.1367521367521425</v>
      </c>
      <c r="E175" s="161">
        <f>-B175*Main!$B$18-2*Main!$B$18*loop_gain!$B$17*loop_gain!$B$18</f>
        <v>-191.96102564102571</v>
      </c>
      <c r="F175" s="161">
        <f>2*Main!$B$18*loop_gain!$B$17*loop_gain!$B$18*Helper_calcs!$B$14*Current_limit!B175</f>
        <v>1386.0000000000036</v>
      </c>
      <c r="G175" s="161">
        <f t="shared" si="19"/>
        <v>7.918099191287352</v>
      </c>
      <c r="H175" s="161">
        <f>(Main!$B$18-Current_limit!G175)*Current_limit!G175/(Main!$B$18*loop_gain!$B$17*loop_gain!$B$18)</f>
        <v>0.3886591569550602</v>
      </c>
      <c r="I175" s="161">
        <f t="shared" si="20"/>
        <v>3.5113408430449407</v>
      </c>
      <c r="J175" s="161"/>
      <c r="K175" s="163">
        <f>IF(A175&gt;$B$15,IF(I175&gt;Helper_calcs!$B$15,23,3),0)</f>
        <v>0</v>
      </c>
      <c r="L175" s="162">
        <f t="shared" si="18"/>
        <v>0</v>
      </c>
      <c r="M175" s="162">
        <f t="shared" si="21"/>
        <v>0</v>
      </c>
      <c r="N175" s="161">
        <f t="shared" si="22"/>
        <v>2.3399999999999936</v>
      </c>
      <c r="O175" s="161">
        <f t="shared" si="23"/>
        <v>5</v>
      </c>
      <c r="P175" s="149">
        <f>IF(OR(M175=0,M175=3),loop_gain!$B$18,IF(Current_limit!M175=1,Current_limit!$B$12/(2*(Current_limit!N175-Helper_calcs!$B$15)),IF(OR(M175=2,M175=23),(Main!$B$18-Current_limit!O175)*Current_limit!O175/(Main!$B$18*loop_gain!$B$17*(Helper_calcs!$B$14-Helper_calcs!$B$15)),x)))</f>
        <v>2100000</v>
      </c>
      <c r="Q175" s="161"/>
    </row>
    <row r="176" spans="1:17" x14ac:dyDescent="0.25">
      <c r="A176">
        <f t="shared" si="24"/>
        <v>2.3499999999999934</v>
      </c>
      <c r="B176">
        <f>Main!$B$19/A176</f>
        <v>2.1276595744680908</v>
      </c>
      <c r="D176" s="161">
        <f t="shared" si="17"/>
        <v>2.1276595744680908</v>
      </c>
      <c r="E176" s="161">
        <f>-B176*Main!$B$18-2*Main!$B$18*loop_gain!$B$17*loop_gain!$B$18</f>
        <v>-191.85191489361708</v>
      </c>
      <c r="F176" s="161">
        <f>2*Main!$B$18*loop_gain!$B$17*loop_gain!$B$18*Helper_calcs!$B$14*Current_limit!B176</f>
        <v>1380.1021276595779</v>
      </c>
      <c r="G176" s="161">
        <f t="shared" si="19"/>
        <v>7.8826831625601068</v>
      </c>
      <c r="H176" s="161">
        <f>(Main!$B$18-Current_limit!G176)*Current_limit!G176/(Main!$B$18*loop_gain!$B$17*loop_gain!$B$18)</f>
        <v>0.39027782719351461</v>
      </c>
      <c r="I176" s="161">
        <f t="shared" si="20"/>
        <v>3.5097221728064829</v>
      </c>
      <c r="J176" s="161"/>
      <c r="K176" s="163">
        <f>IF(A176&gt;$B$15,IF(I176&gt;Helper_calcs!$B$15,23,3),0)</f>
        <v>0</v>
      </c>
      <c r="L176" s="162">
        <f t="shared" si="18"/>
        <v>0</v>
      </c>
      <c r="M176" s="162">
        <f t="shared" si="21"/>
        <v>0</v>
      </c>
      <c r="N176" s="161">
        <f t="shared" si="22"/>
        <v>2.3499999999999934</v>
      </c>
      <c r="O176" s="161">
        <f t="shared" si="23"/>
        <v>4.9999999999999991</v>
      </c>
      <c r="P176" s="149">
        <f>IF(OR(M176=0,M176=3),loop_gain!$B$18,IF(Current_limit!M176=1,Current_limit!$B$12/(2*(Current_limit!N176-Helper_calcs!$B$15)),IF(OR(M176=2,M176=23),(Main!$B$18-Current_limit!O176)*Current_limit!O176/(Main!$B$18*loop_gain!$B$17*(Helper_calcs!$B$14-Helper_calcs!$B$15)),x)))</f>
        <v>2100000</v>
      </c>
      <c r="Q176" s="161"/>
    </row>
    <row r="177" spans="1:17" x14ac:dyDescent="0.25">
      <c r="A177">
        <f t="shared" si="24"/>
        <v>2.3599999999999932</v>
      </c>
      <c r="B177">
        <f>Main!$B$19/A177</f>
        <v>2.1186440677966161</v>
      </c>
      <c r="D177" s="161">
        <f t="shared" si="17"/>
        <v>2.1186440677966161</v>
      </c>
      <c r="E177" s="161">
        <f>-B177*Main!$B$18-2*Main!$B$18*loop_gain!$B$17*loop_gain!$B$18</f>
        <v>-191.74372881355939</v>
      </c>
      <c r="F177" s="161">
        <f>2*Main!$B$18*loop_gain!$B$17*loop_gain!$B$18*Helper_calcs!$B$14*Current_limit!B177</f>
        <v>1374.2542372881392</v>
      </c>
      <c r="G177" s="161">
        <f t="shared" si="19"/>
        <v>7.8476156274562339</v>
      </c>
      <c r="H177" s="161">
        <f>(Main!$B$18-Current_limit!G177)*Current_limit!G177/(Main!$B$18*loop_gain!$B$17*loop_gain!$B$18)</f>
        <v>0.39185084768133133</v>
      </c>
      <c r="I177" s="161">
        <f t="shared" si="20"/>
        <v>3.5081491523186665</v>
      </c>
      <c r="J177" s="161"/>
      <c r="K177" s="163">
        <f>IF(A177&gt;$B$15,IF(I177&gt;Helper_calcs!$B$15,23,3),0)</f>
        <v>0</v>
      </c>
      <c r="L177" s="162">
        <f t="shared" si="18"/>
        <v>0</v>
      </c>
      <c r="M177" s="162">
        <f t="shared" si="21"/>
        <v>0</v>
      </c>
      <c r="N177" s="161">
        <f t="shared" si="22"/>
        <v>2.3599999999999932</v>
      </c>
      <c r="O177" s="161">
        <f t="shared" si="23"/>
        <v>4.9999999999999991</v>
      </c>
      <c r="P177" s="149">
        <f>IF(OR(M177=0,M177=3),loop_gain!$B$18,IF(Current_limit!M177=1,Current_limit!$B$12/(2*(Current_limit!N177-Helper_calcs!$B$15)),IF(OR(M177=2,M177=23),(Main!$B$18-Current_limit!O177)*Current_limit!O177/(Main!$B$18*loop_gain!$B$17*(Helper_calcs!$B$14-Helper_calcs!$B$15)),x)))</f>
        <v>2100000</v>
      </c>
      <c r="Q177" s="161"/>
    </row>
    <row r="178" spans="1:17" x14ac:dyDescent="0.25">
      <c r="A178">
        <f t="shared" si="24"/>
        <v>2.369999999999993</v>
      </c>
      <c r="B178">
        <f>Main!$B$19/A178</f>
        <v>2.1097046413502172</v>
      </c>
      <c r="D178" s="161">
        <f t="shared" si="17"/>
        <v>2.1097046413502172</v>
      </c>
      <c r="E178" s="161">
        <f>-B178*Main!$B$18-2*Main!$B$18*loop_gain!$B$17*loop_gain!$B$18</f>
        <v>-191.6364556962026</v>
      </c>
      <c r="F178" s="161">
        <f>2*Main!$B$18*loop_gain!$B$17*loop_gain!$B$18*Helper_calcs!$B$14*Current_limit!B178</f>
        <v>1368.4556962025356</v>
      </c>
      <c r="G178" s="161">
        <f t="shared" si="19"/>
        <v>7.81289098706291</v>
      </c>
      <c r="H178" s="161">
        <f>(Main!$B$18-Current_limit!G178)*Current_limit!G178/(Main!$B$18*loop_gain!$B$17*loop_gain!$B$18)</f>
        <v>0.3933793442643827</v>
      </c>
      <c r="I178" s="161">
        <f t="shared" si="20"/>
        <v>3.5066206557356172</v>
      </c>
      <c r="J178" s="161"/>
      <c r="K178" s="163">
        <f>IF(A178&gt;$B$15,IF(I178&gt;Helper_calcs!$B$15,23,3),0)</f>
        <v>0</v>
      </c>
      <c r="L178" s="162">
        <f t="shared" si="18"/>
        <v>0</v>
      </c>
      <c r="M178" s="162">
        <f t="shared" si="21"/>
        <v>0</v>
      </c>
      <c r="N178" s="161">
        <f t="shared" si="22"/>
        <v>2.369999999999993</v>
      </c>
      <c r="O178" s="161">
        <f t="shared" si="23"/>
        <v>5</v>
      </c>
      <c r="P178" s="149">
        <f>IF(OR(M178=0,M178=3),loop_gain!$B$18,IF(Current_limit!M178=1,Current_limit!$B$12/(2*(Current_limit!N178-Helper_calcs!$B$15)),IF(OR(M178=2,M178=23),(Main!$B$18-Current_limit!O178)*Current_limit!O178/(Main!$B$18*loop_gain!$B$17*(Helper_calcs!$B$14-Helper_calcs!$B$15)),x)))</f>
        <v>2100000</v>
      </c>
      <c r="Q178" s="161"/>
    </row>
    <row r="179" spans="1:17" x14ac:dyDescent="0.25">
      <c r="A179">
        <f t="shared" si="24"/>
        <v>2.3799999999999928</v>
      </c>
      <c r="B179">
        <f>Main!$B$19/A179</f>
        <v>2.1008403361344601</v>
      </c>
      <c r="D179" s="161">
        <f t="shared" si="17"/>
        <v>2.1008403361344601</v>
      </c>
      <c r="E179" s="161">
        <f>-B179*Main!$B$18-2*Main!$B$18*loop_gain!$B$17*loop_gain!$B$18</f>
        <v>-191.53008403361352</v>
      </c>
      <c r="F179" s="161">
        <f>2*Main!$B$18*loop_gain!$B$17*loop_gain!$B$18*Helper_calcs!$B$14*Current_limit!B179</f>
        <v>1362.7058823529451</v>
      </c>
      <c r="G179" s="161">
        <f t="shared" si="19"/>
        <v>7.7785037709964051</v>
      </c>
      <c r="H179" s="161">
        <f>(Main!$B$18-Current_limit!G179)*Current_limit!G179/(Main!$B$18*loop_gain!$B$17*loop_gain!$B$18)</f>
        <v>0.39486441001144262</v>
      </c>
      <c r="I179" s="161">
        <f t="shared" si="20"/>
        <v>3.5051355899885563</v>
      </c>
      <c r="J179" s="161"/>
      <c r="K179" s="163">
        <f>IF(A179&gt;$B$15,IF(I179&gt;Helper_calcs!$B$15,23,3),0)</f>
        <v>0</v>
      </c>
      <c r="L179" s="162">
        <f t="shared" si="18"/>
        <v>0</v>
      </c>
      <c r="M179" s="162">
        <f t="shared" si="21"/>
        <v>0</v>
      </c>
      <c r="N179" s="161">
        <f t="shared" si="22"/>
        <v>2.3799999999999928</v>
      </c>
      <c r="O179" s="161">
        <f t="shared" si="23"/>
        <v>5</v>
      </c>
      <c r="P179" s="149">
        <f>IF(OR(M179=0,M179=3),loop_gain!$B$18,IF(Current_limit!M179=1,Current_limit!$B$12/(2*(Current_limit!N179-Helper_calcs!$B$15)),IF(OR(M179=2,M179=23),(Main!$B$18-Current_limit!O179)*Current_limit!O179/(Main!$B$18*loop_gain!$B$17*(Helper_calcs!$B$14-Helper_calcs!$B$15)),x)))</f>
        <v>2100000</v>
      </c>
      <c r="Q179" s="161"/>
    </row>
    <row r="180" spans="1:17" x14ac:dyDescent="0.25">
      <c r="A180">
        <f t="shared" si="24"/>
        <v>2.3899999999999926</v>
      </c>
      <c r="B180">
        <f>Main!$B$19/A180</f>
        <v>2.0920502092050275</v>
      </c>
      <c r="D180" s="161">
        <f t="shared" si="17"/>
        <v>2.0920502092050275</v>
      </c>
      <c r="E180" s="161">
        <f>-B180*Main!$B$18-2*Main!$B$18*loop_gain!$B$17*loop_gain!$B$18</f>
        <v>-191.42460251046032</v>
      </c>
      <c r="F180" s="161">
        <f>2*Main!$B$18*loop_gain!$B$17*loop_gain!$B$18*Helper_calcs!$B$14*Current_limit!B180</f>
        <v>1357.0041841004224</v>
      </c>
      <c r="G180" s="161">
        <f t="shared" si="19"/>
        <v>7.7444486335129445</v>
      </c>
      <c r="H180" s="161">
        <f>(Main!$B$18-Current_limit!G180)*Current_limit!G180/(Main!$B$18*loop_gain!$B$17*loop_gain!$B$18)</f>
        <v>0.39630710636165006</v>
      </c>
      <c r="I180" s="161">
        <f t="shared" si="20"/>
        <v>3.5036928936383509</v>
      </c>
      <c r="J180" s="161"/>
      <c r="K180" s="163">
        <f>IF(A180&gt;$B$15,IF(I180&gt;Helper_calcs!$B$15,23,3),0)</f>
        <v>0</v>
      </c>
      <c r="L180" s="162">
        <f t="shared" si="18"/>
        <v>0</v>
      </c>
      <c r="M180" s="162">
        <f t="shared" si="21"/>
        <v>0</v>
      </c>
      <c r="N180" s="161">
        <f t="shared" si="22"/>
        <v>2.3899999999999926</v>
      </c>
      <c r="O180" s="161">
        <f t="shared" si="23"/>
        <v>5</v>
      </c>
      <c r="P180" s="149">
        <f>IF(OR(M180=0,M180=3),loop_gain!$B$18,IF(Current_limit!M180=1,Current_limit!$B$12/(2*(Current_limit!N180-Helper_calcs!$B$15)),IF(OR(M180=2,M180=23),(Main!$B$18-Current_limit!O180)*Current_limit!O180/(Main!$B$18*loop_gain!$B$17*(Helper_calcs!$B$14-Helper_calcs!$B$15)),x)))</f>
        <v>2100000</v>
      </c>
      <c r="Q180" s="161"/>
    </row>
    <row r="181" spans="1:17" x14ac:dyDescent="0.25">
      <c r="A181">
        <f t="shared" si="24"/>
        <v>2.3999999999999924</v>
      </c>
      <c r="B181">
        <f>Main!$B$19/A181</f>
        <v>2.0833333333333401</v>
      </c>
      <c r="D181" s="161">
        <f t="shared" si="17"/>
        <v>2.0833333333333401</v>
      </c>
      <c r="E181" s="161">
        <f>-B181*Main!$B$18-2*Main!$B$18*loop_gain!$B$17*loop_gain!$B$18</f>
        <v>-191.32000000000008</v>
      </c>
      <c r="F181" s="161">
        <f>2*Main!$B$18*loop_gain!$B$17*loop_gain!$B$18*Helper_calcs!$B$14*Current_limit!B181</f>
        <v>1351.3500000000042</v>
      </c>
      <c r="G181" s="161">
        <f t="shared" si="19"/>
        <v>7.7107203497663477</v>
      </c>
      <c r="H181" s="161">
        <f>(Main!$B$18-Current_limit!G181)*Current_limit!G181/(Main!$B$18*loop_gain!$B$17*loop_gain!$B$18)</f>
        <v>0.39770846422433026</v>
      </c>
      <c r="I181" s="161">
        <f t="shared" si="20"/>
        <v>3.5022915357756697</v>
      </c>
      <c r="J181" s="161"/>
      <c r="K181" s="163">
        <f>IF(A181&gt;$B$15,IF(I181&gt;Helper_calcs!$B$15,23,3),0)</f>
        <v>0</v>
      </c>
      <c r="L181" s="162">
        <f t="shared" si="18"/>
        <v>0</v>
      </c>
      <c r="M181" s="162">
        <f t="shared" si="21"/>
        <v>0</v>
      </c>
      <c r="N181" s="161">
        <f t="shared" si="22"/>
        <v>2.3999999999999924</v>
      </c>
      <c r="O181" s="161">
        <f t="shared" si="23"/>
        <v>5</v>
      </c>
      <c r="P181" s="149">
        <f>IF(OR(M181=0,M181=3),loop_gain!$B$18,IF(Current_limit!M181=1,Current_limit!$B$12/(2*(Current_limit!N181-Helper_calcs!$B$15)),IF(OR(M181=2,M181=23),(Main!$B$18-Current_limit!O181)*Current_limit!O181/(Main!$B$18*loop_gain!$B$17*(Helper_calcs!$B$14-Helper_calcs!$B$15)),x)))</f>
        <v>2100000</v>
      </c>
      <c r="Q181" s="161"/>
    </row>
    <row r="182" spans="1:17" x14ac:dyDescent="0.25">
      <c r="A182">
        <f t="shared" si="24"/>
        <v>2.4099999999999921</v>
      </c>
      <c r="B182">
        <f>Main!$B$19/A182</f>
        <v>2.0746887966805048</v>
      </c>
      <c r="D182" s="161">
        <f t="shared" si="17"/>
        <v>2.0746887966805048</v>
      </c>
      <c r="E182" s="161">
        <f>-B182*Main!$B$18-2*Main!$B$18*loop_gain!$B$17*loop_gain!$B$18</f>
        <v>-191.21626556016605</v>
      </c>
      <c r="F182" s="161">
        <f>2*Main!$B$18*loop_gain!$B$17*loop_gain!$B$18*Helper_calcs!$B$14*Current_limit!B182</f>
        <v>1345.7427385892158</v>
      </c>
      <c r="G182" s="161">
        <f t="shared" si="19"/>
        <v>7.6773138122059681</v>
      </c>
      <c r="H182" s="161">
        <f>(Main!$B$18-Current_limit!G182)*Current_limit!G182/(Main!$B$18*loop_gain!$B$17*loop_gain!$B$18)</f>
        <v>0.39906948503346662</v>
      </c>
      <c r="I182" s="161">
        <f t="shared" si="20"/>
        <v>3.5009305149665311</v>
      </c>
      <c r="J182" s="161"/>
      <c r="K182" s="163">
        <f>IF(A182&gt;$B$15,IF(I182&gt;Helper_calcs!$B$15,23,3),0)</f>
        <v>0</v>
      </c>
      <c r="L182" s="162">
        <f t="shared" si="18"/>
        <v>0</v>
      </c>
      <c r="M182" s="162">
        <f t="shared" si="21"/>
        <v>0</v>
      </c>
      <c r="N182" s="161">
        <f t="shared" si="22"/>
        <v>2.4099999999999921</v>
      </c>
      <c r="O182" s="161">
        <f t="shared" si="23"/>
        <v>5</v>
      </c>
      <c r="P182" s="149">
        <f>IF(OR(M182=0,M182=3),loop_gain!$B$18,IF(Current_limit!M182=1,Current_limit!$B$12/(2*(Current_limit!N182-Helper_calcs!$B$15)),IF(OR(M182=2,M182=23),(Main!$B$18-Current_limit!O182)*Current_limit!O182/(Main!$B$18*loop_gain!$B$17*(Helper_calcs!$B$14-Helper_calcs!$B$15)),x)))</f>
        <v>2100000</v>
      </c>
      <c r="Q182" s="161"/>
    </row>
    <row r="183" spans="1:17" x14ac:dyDescent="0.25">
      <c r="A183">
        <f t="shared" si="24"/>
        <v>2.4199999999999919</v>
      </c>
      <c r="B183">
        <f>Main!$B$19/A183</f>
        <v>2.0661157024793457</v>
      </c>
      <c r="D183" s="161">
        <f t="shared" si="17"/>
        <v>2.0661157024793457</v>
      </c>
      <c r="E183" s="161">
        <f>-B183*Main!$B$18-2*Main!$B$18*loop_gain!$B$17*loop_gain!$B$18</f>
        <v>-191.11338842975215</v>
      </c>
      <c r="F183" s="161">
        <f>2*Main!$B$18*loop_gain!$B$17*loop_gain!$B$18*Helper_calcs!$B$14*Current_limit!B183</f>
        <v>1340.1818181818226</v>
      </c>
      <c r="G183" s="161">
        <f t="shared" si="19"/>
        <v>7.6442240271084891</v>
      </c>
      <c r="H183" s="161">
        <f>(Main!$B$18-Current_limit!G183)*Current_limit!G183/(Main!$B$18*loop_gain!$B$17*loop_gain!$B$18)</f>
        <v>0.40039114175900847</v>
      </c>
      <c r="I183" s="161">
        <f t="shared" si="20"/>
        <v>3.4996088582409923</v>
      </c>
      <c r="J183" s="161"/>
      <c r="K183" s="163">
        <f>IF(A183&gt;$B$15,IF(I183&gt;Helper_calcs!$B$15,23,3),0)</f>
        <v>0</v>
      </c>
      <c r="L183" s="162">
        <f t="shared" si="18"/>
        <v>0</v>
      </c>
      <c r="M183" s="162">
        <f t="shared" si="21"/>
        <v>0</v>
      </c>
      <c r="N183" s="161">
        <f t="shared" si="22"/>
        <v>2.4199999999999919</v>
      </c>
      <c r="O183" s="161">
        <f t="shared" si="23"/>
        <v>5</v>
      </c>
      <c r="P183" s="149">
        <f>IF(OR(M183=0,M183=3),loop_gain!$B$18,IF(Current_limit!M183=1,Current_limit!$B$12/(2*(Current_limit!N183-Helper_calcs!$B$15)),IF(OR(M183=2,M183=23),(Main!$B$18-Current_limit!O183)*Current_limit!O183/(Main!$B$18*loop_gain!$B$17*(Helper_calcs!$B$14-Helper_calcs!$B$15)),x)))</f>
        <v>2100000</v>
      </c>
      <c r="Q183" s="161"/>
    </row>
    <row r="184" spans="1:17" x14ac:dyDescent="0.25">
      <c r="A184">
        <f t="shared" si="24"/>
        <v>2.4299999999999917</v>
      </c>
      <c r="B184">
        <f>Main!$B$19/A184</f>
        <v>2.0576131687242869</v>
      </c>
      <c r="D184" s="161">
        <f t="shared" si="17"/>
        <v>2.0576131687242869</v>
      </c>
      <c r="E184" s="161">
        <f>-B184*Main!$B$18-2*Main!$B$18*loop_gain!$B$17*loop_gain!$B$18</f>
        <v>-191.01135802469145</v>
      </c>
      <c r="F184" s="161">
        <f>2*Main!$B$18*loop_gain!$B$17*loop_gain!$B$18*Helper_calcs!$B$14*Current_limit!B184</f>
        <v>1334.6666666666711</v>
      </c>
      <c r="G184" s="161">
        <f t="shared" si="19"/>
        <v>7.6114461112376057</v>
      </c>
      <c r="H184" s="161">
        <f>(Main!$B$18-Current_limit!G184)*Current_limit!G184/(Main!$B$18*loop_gain!$B$17*loop_gain!$B$18)</f>
        <v>0.40167437987707066</v>
      </c>
      <c r="I184" s="161">
        <f t="shared" si="20"/>
        <v>3.498325620122928</v>
      </c>
      <c r="J184" s="161"/>
      <c r="K184" s="163">
        <f>IF(A184&gt;$B$15,IF(I184&gt;Helper_calcs!$B$15,23,3),0)</f>
        <v>0</v>
      </c>
      <c r="L184" s="162">
        <f t="shared" si="18"/>
        <v>0</v>
      </c>
      <c r="M184" s="162">
        <f t="shared" si="21"/>
        <v>0</v>
      </c>
      <c r="N184" s="161">
        <f t="shared" si="22"/>
        <v>2.4299999999999917</v>
      </c>
      <c r="O184" s="161">
        <f t="shared" si="23"/>
        <v>5</v>
      </c>
      <c r="P184" s="149">
        <f>IF(OR(M184=0,M184=3),loop_gain!$B$18,IF(Current_limit!M184=1,Current_limit!$B$12/(2*(Current_limit!N184-Helper_calcs!$B$15)),IF(OR(M184=2,M184=23),(Main!$B$18-Current_limit!O184)*Current_limit!O184/(Main!$B$18*loop_gain!$B$17*(Helper_calcs!$B$14-Helper_calcs!$B$15)),x)))</f>
        <v>2100000</v>
      </c>
      <c r="Q184" s="161"/>
    </row>
    <row r="185" spans="1:17" x14ac:dyDescent="0.25">
      <c r="A185">
        <f t="shared" si="24"/>
        <v>2.4399999999999915</v>
      </c>
      <c r="B185">
        <f>Main!$B$19/A185</f>
        <v>2.0491803278688594</v>
      </c>
      <c r="D185" s="161">
        <f t="shared" si="17"/>
        <v>2.0491803278688594</v>
      </c>
      <c r="E185" s="161">
        <f>-B185*Main!$B$18-2*Main!$B$18*loop_gain!$B$17*loop_gain!$B$18</f>
        <v>-190.91016393442629</v>
      </c>
      <c r="F185" s="161">
        <f>2*Main!$B$18*loop_gain!$B$17*loop_gain!$B$18*Helper_calcs!$B$14*Current_limit!B185</f>
        <v>1329.1967213114797</v>
      </c>
      <c r="G185" s="161">
        <f t="shared" si="19"/>
        <v>7.5789752886260855</v>
      </c>
      <c r="H185" s="161">
        <f>(Main!$B$18-Current_limit!G185)*Current_limit!G185/(Main!$B$18*loop_gain!$B$17*loop_gain!$B$18)</f>
        <v>0.40292011830096408</v>
      </c>
      <c r="I185" s="161">
        <f t="shared" si="20"/>
        <v>3.4970798816990349</v>
      </c>
      <c r="J185" s="161"/>
      <c r="K185" s="163">
        <f>IF(A185&gt;$B$15,IF(I185&gt;Helper_calcs!$B$15,23,3),0)</f>
        <v>0</v>
      </c>
      <c r="L185" s="162">
        <f t="shared" si="18"/>
        <v>0</v>
      </c>
      <c r="M185" s="162">
        <f t="shared" si="21"/>
        <v>0</v>
      </c>
      <c r="N185" s="161">
        <f t="shared" si="22"/>
        <v>2.4399999999999915</v>
      </c>
      <c r="O185" s="161">
        <f t="shared" si="23"/>
        <v>4.9999999999999991</v>
      </c>
      <c r="P185" s="149">
        <f>IF(OR(M185=0,M185=3),loop_gain!$B$18,IF(Current_limit!M185=1,Current_limit!$B$12/(2*(Current_limit!N185-Helper_calcs!$B$15)),IF(OR(M185=2,M185=23),(Main!$B$18-Current_limit!O185)*Current_limit!O185/(Main!$B$18*loop_gain!$B$17*(Helper_calcs!$B$14-Helper_calcs!$B$15)),x)))</f>
        <v>2100000</v>
      </c>
      <c r="Q185" s="161"/>
    </row>
    <row r="186" spans="1:17" x14ac:dyDescent="0.25">
      <c r="A186">
        <f t="shared" si="24"/>
        <v>2.4499999999999913</v>
      </c>
      <c r="B186">
        <f>Main!$B$19/A186</f>
        <v>2.0408163265306194</v>
      </c>
      <c r="D186" s="161">
        <f t="shared" si="17"/>
        <v>2.0408163265306194</v>
      </c>
      <c r="E186" s="161">
        <f>-B186*Main!$B$18-2*Main!$B$18*loop_gain!$B$17*loop_gain!$B$18</f>
        <v>-190.80979591836743</v>
      </c>
      <c r="F186" s="161">
        <f>2*Main!$B$18*loop_gain!$B$17*loop_gain!$B$18*Helper_calcs!$B$14*Current_limit!B186</f>
        <v>1323.771428571433</v>
      </c>
      <c r="G186" s="161">
        <f t="shared" si="19"/>
        <v>7.5468068874746095</v>
      </c>
      <c r="H186" s="161">
        <f>(Main!$B$18-Current_limit!G186)*Current_limit!G186/(Main!$B$18*loop_gain!$B$17*loop_gain!$B$18)</f>
        <v>0.40412925027490515</v>
      </c>
      <c r="I186" s="161">
        <f t="shared" si="20"/>
        <v>3.4958707497250932</v>
      </c>
      <c r="J186" s="161"/>
      <c r="K186" s="163">
        <f>IF(A186&gt;$B$15,IF(I186&gt;Helper_calcs!$B$15,23,3),0)</f>
        <v>0</v>
      </c>
      <c r="L186" s="162">
        <f t="shared" si="18"/>
        <v>0</v>
      </c>
      <c r="M186" s="162">
        <f t="shared" si="21"/>
        <v>0</v>
      </c>
      <c r="N186" s="161">
        <f t="shared" si="22"/>
        <v>2.4499999999999913</v>
      </c>
      <c r="O186" s="161">
        <f t="shared" si="23"/>
        <v>5</v>
      </c>
      <c r="P186" s="149">
        <f>IF(OR(M186=0,M186=3),loop_gain!$B$18,IF(Current_limit!M186=1,Current_limit!$B$12/(2*(Current_limit!N186-Helper_calcs!$B$15)),IF(OR(M186=2,M186=23),(Main!$B$18-Current_limit!O186)*Current_limit!O186/(Main!$B$18*loop_gain!$B$17*(Helper_calcs!$B$14-Helper_calcs!$B$15)),x)))</f>
        <v>2100000</v>
      </c>
      <c r="Q186" s="161"/>
    </row>
    <row r="187" spans="1:17" x14ac:dyDescent="0.25">
      <c r="A187">
        <f t="shared" si="24"/>
        <v>2.4599999999999911</v>
      </c>
      <c r="B187">
        <f>Main!$B$19/A187</f>
        <v>2.0325203252032593</v>
      </c>
      <c r="D187" s="161">
        <f t="shared" si="17"/>
        <v>2.0325203252032593</v>
      </c>
      <c r="E187" s="161">
        <f>-B187*Main!$B$18-2*Main!$B$18*loop_gain!$B$17*loop_gain!$B$18</f>
        <v>-190.71024390243912</v>
      </c>
      <c r="F187" s="161">
        <f>2*Main!$B$18*loop_gain!$B$17*loop_gain!$B$18*Helper_calcs!$B$14*Current_limit!B187</f>
        <v>1318.3902439024437</v>
      </c>
      <c r="G187" s="161">
        <f t="shared" si="19"/>
        <v>7.5149363371624851</v>
      </c>
      <c r="H187" s="161">
        <f>(Main!$B$18-Current_limit!G187)*Current_limit!G187/(Main!$B$18*loop_gain!$B$17*loop_gain!$B$18)</f>
        <v>0.40530264423213941</v>
      </c>
      <c r="I187" s="161">
        <f t="shared" si="20"/>
        <v>3.4946973557678596</v>
      </c>
      <c r="J187" s="161"/>
      <c r="K187" s="163">
        <f>IF(A187&gt;$B$15,IF(I187&gt;Helper_calcs!$B$15,23,3),0)</f>
        <v>0</v>
      </c>
      <c r="L187" s="162">
        <f t="shared" si="18"/>
        <v>0</v>
      </c>
      <c r="M187" s="162">
        <f t="shared" si="21"/>
        <v>0</v>
      </c>
      <c r="N187" s="161">
        <f t="shared" si="22"/>
        <v>2.4599999999999911</v>
      </c>
      <c r="O187" s="161">
        <f t="shared" si="23"/>
        <v>5</v>
      </c>
      <c r="P187" s="149">
        <f>IF(OR(M187=0,M187=3),loop_gain!$B$18,IF(Current_limit!M187=1,Current_limit!$B$12/(2*(Current_limit!N187-Helper_calcs!$B$15)),IF(OR(M187=2,M187=23),(Main!$B$18-Current_limit!O187)*Current_limit!O187/(Main!$B$18*loop_gain!$B$17*(Helper_calcs!$B$14-Helper_calcs!$B$15)),x)))</f>
        <v>2100000</v>
      </c>
      <c r="Q187" s="161"/>
    </row>
    <row r="188" spans="1:17" x14ac:dyDescent="0.25">
      <c r="A188">
        <f t="shared" si="24"/>
        <v>2.4699999999999909</v>
      </c>
      <c r="B188">
        <f>Main!$B$19/A188</f>
        <v>2.0242914979757161</v>
      </c>
      <c r="D188" s="161">
        <f t="shared" si="17"/>
        <v>2.0242914979757161</v>
      </c>
      <c r="E188" s="161">
        <f>-B188*Main!$B$18-2*Main!$B$18*loop_gain!$B$17*loop_gain!$B$18</f>
        <v>-190.61149797570857</v>
      </c>
      <c r="F188" s="161">
        <f>2*Main!$B$18*loop_gain!$B$17*loop_gain!$B$18*Helper_calcs!$B$14*Current_limit!B188</f>
        <v>1313.0526315789521</v>
      </c>
      <c r="G188" s="161">
        <f t="shared" si="19"/>
        <v>7.4833591653652771</v>
      </c>
      <c r="H188" s="161">
        <f>(Main!$B$18-Current_limit!G188)*Current_limit!G188/(Main!$B$18*loop_gain!$B$17*loop_gain!$B$18)</f>
        <v>0.40644114461912978</v>
      </c>
      <c r="I188" s="161">
        <f t="shared" si="20"/>
        <v>3.4935588553808681</v>
      </c>
      <c r="J188" s="161"/>
      <c r="K188" s="163">
        <f>IF(A188&gt;$B$15,IF(I188&gt;Helper_calcs!$B$15,23,3),0)</f>
        <v>0</v>
      </c>
      <c r="L188" s="162">
        <f t="shared" si="18"/>
        <v>0</v>
      </c>
      <c r="M188" s="162">
        <f t="shared" si="21"/>
        <v>0</v>
      </c>
      <c r="N188" s="161">
        <f t="shared" si="22"/>
        <v>2.4699999999999909</v>
      </c>
      <c r="O188" s="161">
        <f t="shared" si="23"/>
        <v>5</v>
      </c>
      <c r="P188" s="149">
        <f>IF(OR(M188=0,M188=3),loop_gain!$B$18,IF(Current_limit!M188=1,Current_limit!$B$12/(2*(Current_limit!N188-Helper_calcs!$B$15)),IF(OR(M188=2,M188=23),(Main!$B$18-Current_limit!O188)*Current_limit!O188/(Main!$B$18*loop_gain!$B$17*(Helper_calcs!$B$14-Helper_calcs!$B$15)),x)))</f>
        <v>2100000</v>
      </c>
      <c r="Q188" s="161"/>
    </row>
    <row r="189" spans="1:17" x14ac:dyDescent="0.25">
      <c r="A189">
        <f t="shared" si="24"/>
        <v>2.4799999999999907</v>
      </c>
      <c r="B189">
        <f>Main!$B$19/A189</f>
        <v>2.0161290322580721</v>
      </c>
      <c r="D189" s="161">
        <f t="shared" si="17"/>
        <v>2.0161290322580721</v>
      </c>
      <c r="E189" s="161">
        <f>-B189*Main!$B$18-2*Main!$B$18*loop_gain!$B$17*loop_gain!$B$18</f>
        <v>-190.51354838709685</v>
      </c>
      <c r="F189" s="161">
        <f>2*Main!$B$18*loop_gain!$B$17*loop_gain!$B$18*Helper_calcs!$B$14*Current_limit!B189</f>
        <v>1307.7580645161338</v>
      </c>
      <c r="G189" s="161">
        <f t="shared" si="19"/>
        <v>7.4520709952748643</v>
      </c>
      <c r="H189" s="161">
        <f>(Main!$B$18-Current_limit!G189)*Current_limit!G189/(Main!$B$18*loop_gain!$B$17*loop_gain!$B$18)</f>
        <v>0.4075455726873673</v>
      </c>
      <c r="I189" s="161">
        <f t="shared" si="20"/>
        <v>3.492454427312635</v>
      </c>
      <c r="J189" s="161"/>
      <c r="K189" s="163">
        <f>IF(A189&gt;$B$15,IF(I189&gt;Helper_calcs!$B$15,23,3),0)</f>
        <v>0</v>
      </c>
      <c r="L189" s="162">
        <f t="shared" si="18"/>
        <v>0</v>
      </c>
      <c r="M189" s="162">
        <f t="shared" si="21"/>
        <v>0</v>
      </c>
      <c r="N189" s="161">
        <f t="shared" si="22"/>
        <v>2.4799999999999907</v>
      </c>
      <c r="O189" s="161">
        <f t="shared" si="23"/>
        <v>5</v>
      </c>
      <c r="P189" s="149">
        <f>IF(OR(M189=0,M189=3),loop_gain!$B$18,IF(Current_limit!M189=1,Current_limit!$B$12/(2*(Current_limit!N189-Helper_calcs!$B$15)),IF(OR(M189=2,M189=23),(Main!$B$18-Current_limit!O189)*Current_limit!O189/(Main!$B$18*loop_gain!$B$17*(Helper_calcs!$B$14-Helper_calcs!$B$15)),x)))</f>
        <v>2100000</v>
      </c>
      <c r="Q189" s="161"/>
    </row>
    <row r="190" spans="1:17" x14ac:dyDescent="0.25">
      <c r="A190">
        <f t="shared" si="24"/>
        <v>2.4899999999999904</v>
      </c>
      <c r="B190">
        <f>Main!$B$19/A190</f>
        <v>2.0080321285140639</v>
      </c>
      <c r="D190" s="161">
        <f t="shared" si="17"/>
        <v>2.0080321285140639</v>
      </c>
      <c r="E190" s="161">
        <f>-B190*Main!$B$18-2*Main!$B$18*loop_gain!$B$17*loop_gain!$B$18</f>
        <v>-190.41638554216877</v>
      </c>
      <c r="F190" s="161">
        <f>2*Main!$B$18*loop_gain!$B$17*loop_gain!$B$18*Helper_calcs!$B$14*Current_limit!B190</f>
        <v>1302.5060240963903</v>
      </c>
      <c r="G190" s="161">
        <f t="shared" si="19"/>
        <v>7.4210675429174113</v>
      </c>
      <c r="H190" s="161">
        <f>(Main!$B$18-Current_limit!G190)*Current_limit!G190/(Main!$B$18*loop_gain!$B$17*loop_gain!$B$18)</f>
        <v>0.40861672725428905</v>
      </c>
      <c r="I190" s="161">
        <f t="shared" si="20"/>
        <v>3.4913832727457121</v>
      </c>
      <c r="J190" s="161"/>
      <c r="K190" s="163">
        <f>IF(A190&gt;$B$15,IF(I190&gt;Helper_calcs!$B$15,23,3),0)</f>
        <v>0</v>
      </c>
      <c r="L190" s="162">
        <f t="shared" si="18"/>
        <v>0</v>
      </c>
      <c r="M190" s="162">
        <f t="shared" si="21"/>
        <v>0</v>
      </c>
      <c r="N190" s="161">
        <f t="shared" si="22"/>
        <v>2.4899999999999904</v>
      </c>
      <c r="O190" s="161">
        <f t="shared" si="23"/>
        <v>5</v>
      </c>
      <c r="P190" s="149">
        <f>IF(OR(M190=0,M190=3),loop_gain!$B$18,IF(Current_limit!M190=1,Current_limit!$B$12/(2*(Current_limit!N190-Helper_calcs!$B$15)),IF(OR(M190=2,M190=23),(Main!$B$18-Current_limit!O190)*Current_limit!O190/(Main!$B$18*loop_gain!$B$17*(Helper_calcs!$B$14-Helper_calcs!$B$15)),x)))</f>
        <v>2100000</v>
      </c>
      <c r="Q190" s="161"/>
    </row>
    <row r="191" spans="1:17" x14ac:dyDescent="0.25">
      <c r="A191">
        <f t="shared" si="24"/>
        <v>2.4999999999999902</v>
      </c>
      <c r="B191">
        <f>Main!$B$19/A191</f>
        <v>2.000000000000008</v>
      </c>
      <c r="D191" s="161">
        <f t="shared" si="17"/>
        <v>2.000000000000008</v>
      </c>
      <c r="E191" s="161">
        <f>-B191*Main!$B$18-2*Main!$B$18*loop_gain!$B$17*loop_gain!$B$18</f>
        <v>-190.32000000000008</v>
      </c>
      <c r="F191" s="161">
        <f>2*Main!$B$18*loop_gain!$B$17*loop_gain!$B$18*Helper_calcs!$B$14*Current_limit!B191</f>
        <v>1297.2960000000051</v>
      </c>
      <c r="G191" s="161">
        <f t="shared" si="19"/>
        <v>7.3903446145653353</v>
      </c>
      <c r="H191" s="161">
        <f>(Main!$B$18-Current_limit!G191)*Current_limit!G191/(Main!$B$18*loop_gain!$B$17*loop_gain!$B$18)</f>
        <v>0.40965538543469421</v>
      </c>
      <c r="I191" s="161">
        <f t="shared" si="20"/>
        <v>3.4903446145653061</v>
      </c>
      <c r="J191" s="161"/>
      <c r="K191" s="163">
        <f>IF(A191&gt;$B$15,IF(I191&gt;Helper_calcs!$B$15,23,3),0)</f>
        <v>0</v>
      </c>
      <c r="L191" s="162">
        <f t="shared" si="18"/>
        <v>0</v>
      </c>
      <c r="M191" s="162">
        <f t="shared" si="21"/>
        <v>0</v>
      </c>
      <c r="N191" s="161">
        <f t="shared" si="22"/>
        <v>2.4999999999999902</v>
      </c>
      <c r="O191" s="161">
        <f t="shared" si="23"/>
        <v>5</v>
      </c>
      <c r="P191" s="149">
        <f>IF(OR(M191=0,M191=3),loop_gain!$B$18,IF(Current_limit!M191=1,Current_limit!$B$12/(2*(Current_limit!N191-Helper_calcs!$B$15)),IF(OR(M191=2,M191=23),(Main!$B$18-Current_limit!O191)*Current_limit!O191/(Main!$B$18*loop_gain!$B$17*(Helper_calcs!$B$14-Helper_calcs!$B$15)),x)))</f>
        <v>2100000</v>
      </c>
      <c r="Q191" s="161"/>
    </row>
    <row r="192" spans="1:17" x14ac:dyDescent="0.25">
      <c r="A192">
        <f t="shared" si="24"/>
        <v>2.50999999999999</v>
      </c>
      <c r="B192">
        <f>Main!$B$19/A192</f>
        <v>1.9920318725099682</v>
      </c>
      <c r="D192" s="161">
        <f t="shared" si="17"/>
        <v>1.9920318725099682</v>
      </c>
      <c r="E192" s="161">
        <f>-B192*Main!$B$18-2*Main!$B$18*loop_gain!$B$17*loop_gain!$B$18</f>
        <v>-190.22438247011962</v>
      </c>
      <c r="F192" s="161">
        <f>2*Main!$B$18*loop_gain!$B$17*loop_gain!$B$18*Helper_calcs!$B$14*Current_limit!B192</f>
        <v>1292.1274900398457</v>
      </c>
      <c r="G192" s="161">
        <f t="shared" si="19"/>
        <v>7.359898104239071</v>
      </c>
      <c r="H192" s="161">
        <f>(Main!$B$18-Current_limit!G192)*Current_limit!G192/(Main!$B$18*loop_gain!$B$17*loop_gain!$B$18)</f>
        <v>0.41066230334399934</v>
      </c>
      <c r="I192" s="161">
        <f t="shared" si="20"/>
        <v>3.489337696655999</v>
      </c>
      <c r="J192" s="161"/>
      <c r="K192" s="163">
        <f>IF(A192&gt;$B$15,IF(I192&gt;Helper_calcs!$B$15,23,3),0)</f>
        <v>0</v>
      </c>
      <c r="L192" s="162">
        <f t="shared" si="18"/>
        <v>0</v>
      </c>
      <c r="M192" s="162">
        <f t="shared" si="21"/>
        <v>0</v>
      </c>
      <c r="N192" s="161">
        <f t="shared" si="22"/>
        <v>2.50999999999999</v>
      </c>
      <c r="O192" s="161">
        <f t="shared" si="23"/>
        <v>5</v>
      </c>
      <c r="P192" s="149">
        <f>IF(OR(M192=0,M192=3),loop_gain!$B$18,IF(Current_limit!M192=1,Current_limit!$B$12/(2*(Current_limit!N192-Helper_calcs!$B$15)),IF(OR(M192=2,M192=23),(Main!$B$18-Current_limit!O192)*Current_limit!O192/(Main!$B$18*loop_gain!$B$17*(Helper_calcs!$B$14-Helper_calcs!$B$15)),x)))</f>
        <v>2100000</v>
      </c>
      <c r="Q192" s="161"/>
    </row>
    <row r="193" spans="1:17" x14ac:dyDescent="0.25">
      <c r="A193">
        <f t="shared" si="24"/>
        <v>2.5199999999999898</v>
      </c>
      <c r="B193">
        <f>Main!$B$19/A193</f>
        <v>1.9841269841269922</v>
      </c>
      <c r="D193" s="161">
        <f t="shared" si="17"/>
        <v>1.9841269841269922</v>
      </c>
      <c r="E193" s="161">
        <f>-B193*Main!$B$18-2*Main!$B$18*loop_gain!$B$17*loop_gain!$B$18</f>
        <v>-190.1295238095239</v>
      </c>
      <c r="F193" s="161">
        <f>2*Main!$B$18*loop_gain!$B$17*loop_gain!$B$18*Helper_calcs!$B$14*Current_limit!B193</f>
        <v>1287.000000000005</v>
      </c>
      <c r="G193" s="161">
        <f t="shared" si="19"/>
        <v>7.32972399129509</v>
      </c>
      <c r="H193" s="161">
        <f>(Main!$B$18-Current_limit!G193)*Current_limit!G193/(Main!$B$18*loop_gain!$B$17*loop_gain!$B$18)</f>
        <v>0.41163821677458218</v>
      </c>
      <c r="I193" s="161">
        <f t="shared" si="20"/>
        <v>3.4883617832254195</v>
      </c>
      <c r="J193" s="161"/>
      <c r="K193" s="163">
        <f>IF(A193&gt;$B$15,IF(I193&gt;Helper_calcs!$B$15,23,3),0)</f>
        <v>0</v>
      </c>
      <c r="L193" s="162">
        <f t="shared" si="18"/>
        <v>0</v>
      </c>
      <c r="M193" s="162">
        <f t="shared" si="21"/>
        <v>0</v>
      </c>
      <c r="N193" s="161">
        <f t="shared" si="22"/>
        <v>2.5199999999999898</v>
      </c>
      <c r="O193" s="161">
        <f t="shared" si="23"/>
        <v>5</v>
      </c>
      <c r="P193" s="149">
        <f>IF(OR(M193=0,M193=3),loop_gain!$B$18,IF(Current_limit!M193=1,Current_limit!$B$12/(2*(Current_limit!N193-Helper_calcs!$B$15)),IF(OR(M193=2,M193=23),(Main!$B$18-Current_limit!O193)*Current_limit!O193/(Main!$B$18*loop_gain!$B$17*(Helper_calcs!$B$14-Helper_calcs!$B$15)),x)))</f>
        <v>2100000</v>
      </c>
      <c r="Q193" s="161"/>
    </row>
    <row r="194" spans="1:17" x14ac:dyDescent="0.25">
      <c r="A194">
        <f t="shared" si="24"/>
        <v>2.5299999999999896</v>
      </c>
      <c r="B194">
        <f>Main!$B$19/A194</f>
        <v>1.9762845849802453</v>
      </c>
      <c r="D194" s="161">
        <f t="shared" si="17"/>
        <v>1.9762845849802453</v>
      </c>
      <c r="E194" s="161">
        <f>-B194*Main!$B$18-2*Main!$B$18*loop_gain!$B$17*loop_gain!$B$18</f>
        <v>-190.03541501976292</v>
      </c>
      <c r="F194" s="161">
        <f>2*Main!$B$18*loop_gain!$B$17*loop_gain!$B$18*Helper_calcs!$B$14*Current_limit!B194</f>
        <v>1281.913043478266</v>
      </c>
      <c r="G194" s="161">
        <f t="shared" si="19"/>
        <v>7.2998183380964496</v>
      </c>
      <c r="H194" s="161">
        <f>(Main!$B$18-Current_limit!G194)*Current_limit!G194/(Main!$B$18*loop_gain!$B$17*loop_gain!$B$18)</f>
        <v>0.41258384184641883</v>
      </c>
      <c r="I194" s="161">
        <f t="shared" si="20"/>
        <v>3.4874161581535787</v>
      </c>
      <c r="J194" s="161"/>
      <c r="K194" s="163">
        <f>IF(A194&gt;$B$15,IF(I194&gt;Helper_calcs!$B$15,23,3),0)</f>
        <v>0</v>
      </c>
      <c r="L194" s="162">
        <f t="shared" si="18"/>
        <v>0</v>
      </c>
      <c r="M194" s="162">
        <f t="shared" si="21"/>
        <v>0</v>
      </c>
      <c r="N194" s="161">
        <f t="shared" si="22"/>
        <v>2.5299999999999896</v>
      </c>
      <c r="O194" s="161">
        <f t="shared" si="23"/>
        <v>5</v>
      </c>
      <c r="P194" s="149">
        <f>IF(OR(M194=0,M194=3),loop_gain!$B$18,IF(Current_limit!M194=1,Current_limit!$B$12/(2*(Current_limit!N194-Helper_calcs!$B$15)),IF(OR(M194=2,M194=23),(Main!$B$18-Current_limit!O194)*Current_limit!O194/(Main!$B$18*loop_gain!$B$17*(Helper_calcs!$B$14-Helper_calcs!$B$15)),x)))</f>
        <v>2100000</v>
      </c>
      <c r="Q194" s="161"/>
    </row>
    <row r="195" spans="1:17" x14ac:dyDescent="0.25">
      <c r="A195">
        <f t="shared" si="24"/>
        <v>2.5399999999999894</v>
      </c>
      <c r="B195">
        <f>Main!$B$19/A195</f>
        <v>1.9685039370078823</v>
      </c>
      <c r="D195" s="161">
        <f t="shared" si="17"/>
        <v>1.9685039370078823</v>
      </c>
      <c r="E195" s="161">
        <f>-B195*Main!$B$18-2*Main!$B$18*loop_gain!$B$17*loop_gain!$B$18</f>
        <v>-189.94204724409457</v>
      </c>
      <c r="F195" s="161">
        <f>2*Main!$B$18*loop_gain!$B$17*loop_gain!$B$18*Helper_calcs!$B$14*Current_limit!B195</f>
        <v>1276.8661417322887</v>
      </c>
      <c r="G195" s="161">
        <f t="shared" si="19"/>
        <v>7.2701772877626887</v>
      </c>
      <c r="H195" s="161">
        <f>(Main!$B$18-Current_limit!G195)*Current_limit!G195/(Main!$B$18*loop_gain!$B$17*loop_gain!$B$18)</f>
        <v>0.41349987563313884</v>
      </c>
      <c r="I195" s="161">
        <f t="shared" si="20"/>
        <v>3.4865001243668607</v>
      </c>
      <c r="J195" s="161"/>
      <c r="K195" s="163">
        <f>IF(A195&gt;$B$15,IF(I195&gt;Helper_calcs!$B$15,23,3),0)</f>
        <v>0</v>
      </c>
      <c r="L195" s="162">
        <f t="shared" si="18"/>
        <v>0</v>
      </c>
      <c r="M195" s="162">
        <f t="shared" si="21"/>
        <v>0</v>
      </c>
      <c r="N195" s="161">
        <f t="shared" si="22"/>
        <v>2.5399999999999894</v>
      </c>
      <c r="O195" s="161">
        <f t="shared" si="23"/>
        <v>5</v>
      </c>
      <c r="P195" s="149">
        <f>IF(OR(M195=0,M195=3),loop_gain!$B$18,IF(Current_limit!M195=1,Current_limit!$B$12/(2*(Current_limit!N195-Helper_calcs!$B$15)),IF(OR(M195=2,M195=23),(Main!$B$18-Current_limit!O195)*Current_limit!O195/(Main!$B$18*loop_gain!$B$17*(Helper_calcs!$B$14-Helper_calcs!$B$15)),x)))</f>
        <v>2100000</v>
      </c>
      <c r="Q195" s="161"/>
    </row>
    <row r="196" spans="1:17" x14ac:dyDescent="0.25">
      <c r="A196">
        <f t="shared" si="24"/>
        <v>2.5499999999999892</v>
      </c>
      <c r="B196">
        <f>Main!$B$19/A196</f>
        <v>1.9607843137254986</v>
      </c>
      <c r="D196" s="161">
        <f t="shared" si="17"/>
        <v>1.9607843137254986</v>
      </c>
      <c r="E196" s="161">
        <f>-B196*Main!$B$18-2*Main!$B$18*loop_gain!$B$17*loop_gain!$B$18</f>
        <v>-189.84941176470596</v>
      </c>
      <c r="F196" s="161">
        <f>2*Main!$B$18*loop_gain!$B$17*loop_gain!$B$18*Helper_calcs!$B$14*Current_limit!B196</f>
        <v>1271.8588235294171</v>
      </c>
      <c r="G196" s="161">
        <f t="shared" si="19"/>
        <v>7.2407970619955337</v>
      </c>
      <c r="H196" s="161">
        <f>(Main!$B$18-Current_limit!G196)*Current_limit!G196/(Main!$B$18*loop_gain!$B$17*loop_gain!$B$18)</f>
        <v>0.4143869967645894</v>
      </c>
      <c r="I196" s="161">
        <f t="shared" si="20"/>
        <v>3.4856130032354118</v>
      </c>
      <c r="J196" s="161"/>
      <c r="K196" s="163">
        <f>IF(A196&gt;$B$15,IF(I196&gt;Helper_calcs!$B$15,23,3),0)</f>
        <v>0</v>
      </c>
      <c r="L196" s="162">
        <f t="shared" si="18"/>
        <v>0</v>
      </c>
      <c r="M196" s="162">
        <f t="shared" si="21"/>
        <v>0</v>
      </c>
      <c r="N196" s="161">
        <f t="shared" si="22"/>
        <v>2.5499999999999892</v>
      </c>
      <c r="O196" s="161">
        <f t="shared" si="23"/>
        <v>5</v>
      </c>
      <c r="P196" s="149">
        <f>IF(OR(M196=0,M196=3),loop_gain!$B$18,IF(Current_limit!M196=1,Current_limit!$B$12/(2*(Current_limit!N196-Helper_calcs!$B$15)),IF(OR(M196=2,M196=23),(Main!$B$18-Current_limit!O196)*Current_limit!O196/(Main!$B$18*loop_gain!$B$17*(Helper_calcs!$B$14-Helper_calcs!$B$15)),x)))</f>
        <v>2100000</v>
      </c>
      <c r="Q196" s="161"/>
    </row>
    <row r="197" spans="1:17" x14ac:dyDescent="0.25">
      <c r="A197">
        <f t="shared" si="24"/>
        <v>2.559999999999989</v>
      </c>
      <c r="B197">
        <f>Main!$B$19/A197</f>
        <v>1.9531250000000084</v>
      </c>
      <c r="D197" s="161">
        <f t="shared" si="17"/>
        <v>1.9531250000000084</v>
      </c>
      <c r="E197" s="161">
        <f>-B197*Main!$B$18-2*Main!$B$18*loop_gain!$B$17*loop_gain!$B$18</f>
        <v>-189.75750000000011</v>
      </c>
      <c r="F197" s="161">
        <f>2*Main!$B$18*loop_gain!$B$17*loop_gain!$B$18*Helper_calcs!$B$14*Current_limit!B197</f>
        <v>1266.8906250000052</v>
      </c>
      <c r="G197" s="161">
        <f t="shared" si="19"/>
        <v>7.211673958977646</v>
      </c>
      <c r="H197" s="161">
        <f>(Main!$B$18-Current_limit!G197)*Current_limit!G197/(Main!$B$18*loop_gain!$B$17*loop_gain!$B$18)</f>
        <v>0.41524586600691965</v>
      </c>
      <c r="I197" s="161">
        <f t="shared" si="20"/>
        <v>3.4847541339930785</v>
      </c>
      <c r="J197" s="161"/>
      <c r="K197" s="163">
        <f>IF(A197&gt;$B$15,IF(I197&gt;Helper_calcs!$B$15,23,3),0)</f>
        <v>0</v>
      </c>
      <c r="L197" s="162">
        <f t="shared" si="18"/>
        <v>0</v>
      </c>
      <c r="M197" s="162">
        <f t="shared" si="21"/>
        <v>0</v>
      </c>
      <c r="N197" s="161">
        <f t="shared" si="22"/>
        <v>2.559999999999989</v>
      </c>
      <c r="O197" s="161">
        <f t="shared" si="23"/>
        <v>5</v>
      </c>
      <c r="P197" s="149">
        <f>IF(OR(M197=0,M197=3),loop_gain!$B$18,IF(Current_limit!M197=1,Current_limit!$B$12/(2*(Current_limit!N197-Helper_calcs!$B$15)),IF(OR(M197=2,M197=23),(Main!$B$18-Current_limit!O197)*Current_limit!O197/(Main!$B$18*loop_gain!$B$17*(Helper_calcs!$B$14-Helper_calcs!$B$15)),x)))</f>
        <v>2100000</v>
      </c>
      <c r="Q197" s="161"/>
    </row>
    <row r="198" spans="1:17" x14ac:dyDescent="0.25">
      <c r="A198">
        <f t="shared" si="24"/>
        <v>2.5699999999999887</v>
      </c>
      <c r="B198">
        <f>Main!$B$19/A198</f>
        <v>1.9455252918288024</v>
      </c>
      <c r="D198" s="161">
        <f t="shared" si="17"/>
        <v>1.9455252918288024</v>
      </c>
      <c r="E198" s="161">
        <f>-B198*Main!$B$18-2*Main!$B$18*loop_gain!$B$17*loop_gain!$B$18</f>
        <v>-189.66630350194561</v>
      </c>
      <c r="F198" s="161">
        <f>2*Main!$B$18*loop_gain!$B$17*loop_gain!$B$18*Helper_calcs!$B$14*Current_limit!B198</f>
        <v>1261.9610894941688</v>
      </c>
      <c r="G198" s="161">
        <f t="shared" si="19"/>
        <v>7.1828043513413116</v>
      </c>
      <c r="H198" s="161">
        <f>(Main!$B$18-Current_limit!G198)*Current_limit!G198/(Main!$B$18*loop_gain!$B$17*loop_gain!$B$18)</f>
        <v>0.41607712682116471</v>
      </c>
      <c r="I198" s="161">
        <f t="shared" si="20"/>
        <v>3.4839228731788352</v>
      </c>
      <c r="J198" s="161"/>
      <c r="K198" s="163">
        <f>IF(A198&gt;$B$15,IF(I198&gt;Helper_calcs!$B$15,23,3),0)</f>
        <v>0</v>
      </c>
      <c r="L198" s="162">
        <f t="shared" si="18"/>
        <v>0</v>
      </c>
      <c r="M198" s="162">
        <f t="shared" si="21"/>
        <v>0</v>
      </c>
      <c r="N198" s="161">
        <f t="shared" si="22"/>
        <v>2.5699999999999887</v>
      </c>
      <c r="O198" s="161">
        <f t="shared" si="23"/>
        <v>5</v>
      </c>
      <c r="P198" s="149">
        <f>IF(OR(M198=0,M198=3),loop_gain!$B$18,IF(Current_limit!M198=1,Current_limit!$B$12/(2*(Current_limit!N198-Helper_calcs!$B$15)),IF(OR(M198=2,M198=23),(Main!$B$18-Current_limit!O198)*Current_limit!O198/(Main!$B$18*loop_gain!$B$17*(Helper_calcs!$B$14-Helper_calcs!$B$15)),x)))</f>
        <v>2100000</v>
      </c>
      <c r="Q198" s="161"/>
    </row>
    <row r="199" spans="1:17" x14ac:dyDescent="0.25">
      <c r="A199">
        <f t="shared" si="24"/>
        <v>2.5799999999999885</v>
      </c>
      <c r="B199">
        <f>Main!$B$19/A199</f>
        <v>1.9379844961240396</v>
      </c>
      <c r="D199" s="161">
        <f t="shared" si="17"/>
        <v>1.9379844961240396</v>
      </c>
      <c r="E199" s="161">
        <f>-B199*Main!$B$18-2*Main!$B$18*loop_gain!$B$17*loop_gain!$B$18</f>
        <v>-189.57581395348848</v>
      </c>
      <c r="F199" s="161">
        <f>2*Main!$B$18*loop_gain!$B$17*loop_gain!$B$18*Helper_calcs!$B$14*Current_limit!B199</f>
        <v>1257.0697674418659</v>
      </c>
      <c r="G199" s="161">
        <f t="shared" si="19"/>
        <v>7.1541846842042389</v>
      </c>
      <c r="H199" s="161">
        <f>(Main!$B$18-Current_limit!G199)*Current_limit!G199/(Main!$B$18*loop_gain!$B$17*loop_gain!$B$18)</f>
        <v>0.41688140590125494</v>
      </c>
      <c r="I199" s="161">
        <f t="shared" si="20"/>
        <v>3.4831185940987437</v>
      </c>
      <c r="J199" s="161"/>
      <c r="K199" s="163">
        <f>IF(A199&gt;$B$15,IF(I199&gt;Helper_calcs!$B$15,23,3),0)</f>
        <v>0</v>
      </c>
      <c r="L199" s="162">
        <f t="shared" si="18"/>
        <v>0</v>
      </c>
      <c r="M199" s="162">
        <f t="shared" si="21"/>
        <v>0</v>
      </c>
      <c r="N199" s="161">
        <f t="shared" si="22"/>
        <v>2.5799999999999885</v>
      </c>
      <c r="O199" s="161">
        <f t="shared" si="23"/>
        <v>5</v>
      </c>
      <c r="P199" s="149">
        <f>IF(OR(M199=0,M199=3),loop_gain!$B$18,IF(Current_limit!M199=1,Current_limit!$B$12/(2*(Current_limit!N199-Helper_calcs!$B$15)),IF(OR(M199=2,M199=23),(Main!$B$18-Current_limit!O199)*Current_limit!O199/(Main!$B$18*loop_gain!$B$17*(Helper_calcs!$B$14-Helper_calcs!$B$15)),x)))</f>
        <v>2100000</v>
      </c>
      <c r="Q199" s="161"/>
    </row>
    <row r="200" spans="1:17" x14ac:dyDescent="0.25">
      <c r="A200">
        <f t="shared" si="24"/>
        <v>2.5899999999999883</v>
      </c>
      <c r="B200">
        <f>Main!$B$19/A200</f>
        <v>1.9305019305019393</v>
      </c>
      <c r="D200" s="161">
        <f t="shared" si="17"/>
        <v>1.9305019305019393</v>
      </c>
      <c r="E200" s="161">
        <f>-B200*Main!$B$18-2*Main!$B$18*loop_gain!$B$17*loop_gain!$B$18</f>
        <v>-189.48602316602327</v>
      </c>
      <c r="F200" s="161">
        <f>2*Main!$B$18*loop_gain!$B$17*loop_gain!$B$18*Helper_calcs!$B$14*Current_limit!B200</f>
        <v>1252.2162162162217</v>
      </c>
      <c r="G200" s="161">
        <f t="shared" si="19"/>
        <v>7.1258114732699838</v>
      </c>
      <c r="H200" s="161">
        <f>(Main!$B$18-Current_limit!G200)*Current_limit!G200/(Main!$B$18*loop_gain!$B$17*loop_gain!$B$18)</f>
        <v>0.41765931369232406</v>
      </c>
      <c r="I200" s="161">
        <f t="shared" si="20"/>
        <v>3.4823406863076727</v>
      </c>
      <c r="J200" s="161"/>
      <c r="K200" s="163">
        <f>IF(A200&gt;$B$15,IF(I200&gt;Helper_calcs!$B$15,23,3),0)</f>
        <v>0</v>
      </c>
      <c r="L200" s="162">
        <f t="shared" si="18"/>
        <v>0</v>
      </c>
      <c r="M200" s="162">
        <f t="shared" si="21"/>
        <v>0</v>
      </c>
      <c r="N200" s="161">
        <f t="shared" si="22"/>
        <v>2.5899999999999883</v>
      </c>
      <c r="O200" s="161">
        <f t="shared" si="23"/>
        <v>5</v>
      </c>
      <c r="P200" s="149">
        <f>IF(OR(M200=0,M200=3),loop_gain!$B$18,IF(Current_limit!M200=1,Current_limit!$B$12/(2*(Current_limit!N200-Helper_calcs!$B$15)),IF(OR(M200=2,M200=23),(Main!$B$18-Current_limit!O200)*Current_limit!O200/(Main!$B$18*loop_gain!$B$17*(Helper_calcs!$B$14-Helper_calcs!$B$15)),x)))</f>
        <v>2100000</v>
      </c>
      <c r="Q200" s="161"/>
    </row>
    <row r="201" spans="1:17" x14ac:dyDescent="0.25">
      <c r="A201">
        <f t="shared" si="24"/>
        <v>2.5999999999999881</v>
      </c>
      <c r="B201">
        <f>Main!$B$19/A201</f>
        <v>1.9230769230769318</v>
      </c>
      <c r="D201" s="161">
        <f t="shared" si="17"/>
        <v>1.9230769230769318</v>
      </c>
      <c r="E201" s="161">
        <f>-B201*Main!$B$18-2*Main!$B$18*loop_gain!$B$17*loop_gain!$B$18</f>
        <v>-189.39692307692317</v>
      </c>
      <c r="F201" s="161">
        <f>2*Main!$B$18*loop_gain!$B$17*loop_gain!$B$18*Helper_calcs!$B$14*Current_limit!B201</f>
        <v>1247.4000000000055</v>
      </c>
      <c r="G201" s="161">
        <f t="shared" si="19"/>
        <v>7.0976813029902601</v>
      </c>
      <c r="H201" s="161">
        <f>(Main!$B$18-Current_limit!G201)*Current_limit!G201/(Main!$B$18*loop_gain!$B$17*loop_gain!$B$18)</f>
        <v>0.4184114448901588</v>
      </c>
      <c r="I201" s="161">
        <f t="shared" si="20"/>
        <v>3.4815885551098393</v>
      </c>
      <c r="J201" s="161"/>
      <c r="K201" s="163">
        <f>IF(A201&gt;$B$15,IF(I201&gt;Helper_calcs!$B$15,23,3),0)</f>
        <v>0</v>
      </c>
      <c r="L201" s="162">
        <f t="shared" si="18"/>
        <v>0</v>
      </c>
      <c r="M201" s="162">
        <f t="shared" si="21"/>
        <v>0</v>
      </c>
      <c r="N201" s="161">
        <f t="shared" si="22"/>
        <v>2.5999999999999881</v>
      </c>
      <c r="O201" s="161">
        <f t="shared" si="23"/>
        <v>5</v>
      </c>
      <c r="P201" s="149">
        <f>IF(OR(M201=0,M201=3),loop_gain!$B$18,IF(Current_limit!M201=1,Current_limit!$B$12/(2*(Current_limit!N201-Helper_calcs!$B$15)),IF(OR(M201=2,M201=23),(Main!$B$18-Current_limit!O201)*Current_limit!O201/(Main!$B$18*loop_gain!$B$17*(Helper_calcs!$B$14-Helper_calcs!$B$15)),x)))</f>
        <v>2100000</v>
      </c>
      <c r="Q201" s="161"/>
    </row>
    <row r="202" spans="1:17" x14ac:dyDescent="0.25">
      <c r="A202">
        <f t="shared" si="24"/>
        <v>2.6099999999999879</v>
      </c>
      <c r="B202">
        <f>Main!$B$19/A202</f>
        <v>1.9157088122605452</v>
      </c>
      <c r="D202" s="161">
        <f t="shared" si="17"/>
        <v>1.9157088122605452</v>
      </c>
      <c r="E202" s="161">
        <f>-B202*Main!$B$18-2*Main!$B$18*loop_gain!$B$17*loop_gain!$B$18</f>
        <v>-189.30850574712653</v>
      </c>
      <c r="F202" s="161">
        <f>2*Main!$B$18*loop_gain!$B$17*loop_gain!$B$18*Helper_calcs!$B$14*Current_limit!B202</f>
        <v>1242.620689655178</v>
      </c>
      <c r="G202" s="161">
        <f t="shared" si="19"/>
        <v>7.069790824786832</v>
      </c>
      <c r="H202" s="161">
        <f>(Main!$B$18-Current_limit!G202)*Current_limit!G202/(Main!$B$18*loop_gain!$B$17*loop_gain!$B$18)</f>
        <v>0.41913837892258193</v>
      </c>
      <c r="I202" s="161">
        <f t="shared" si="20"/>
        <v>3.4808616210774184</v>
      </c>
      <c r="J202" s="161"/>
      <c r="K202" s="163">
        <f>IF(A202&gt;$B$15,IF(I202&gt;Helper_calcs!$B$15,23,3),0)</f>
        <v>0</v>
      </c>
      <c r="L202" s="162">
        <f t="shared" si="18"/>
        <v>0</v>
      </c>
      <c r="M202" s="162">
        <f t="shared" si="21"/>
        <v>0</v>
      </c>
      <c r="N202" s="161">
        <f t="shared" si="22"/>
        <v>2.6099999999999879</v>
      </c>
      <c r="O202" s="161">
        <f t="shared" si="23"/>
        <v>5</v>
      </c>
      <c r="P202" s="149">
        <f>IF(OR(M202=0,M202=3),loop_gain!$B$18,IF(Current_limit!M202=1,Current_limit!$B$12/(2*(Current_limit!N202-Helper_calcs!$B$15)),IF(OR(M202=2,M202=23),(Main!$B$18-Current_limit!O202)*Current_limit!O202/(Main!$B$18*loop_gain!$B$17*(Helper_calcs!$B$14-Helper_calcs!$B$15)),x)))</f>
        <v>2100000</v>
      </c>
      <c r="Q202" s="161"/>
    </row>
    <row r="203" spans="1:17" x14ac:dyDescent="0.25">
      <c r="A203">
        <f t="shared" si="24"/>
        <v>2.6199999999999877</v>
      </c>
      <c r="B203">
        <f>Main!$B$19/A203</f>
        <v>1.9083969465648944</v>
      </c>
      <c r="D203" s="161">
        <f t="shared" si="17"/>
        <v>1.9083969465648944</v>
      </c>
      <c r="E203" s="161">
        <f>-B203*Main!$B$18-2*Main!$B$18*loop_gain!$B$17*loop_gain!$B$18</f>
        <v>-189.22076335877873</v>
      </c>
      <c r="F203" s="161">
        <f>2*Main!$B$18*loop_gain!$B$17*loop_gain!$B$18*Helper_calcs!$B$14*Current_limit!B203</f>
        <v>1237.8778625954255</v>
      </c>
      <c r="G203" s="161">
        <f t="shared" si="19"/>
        <v>7.0421367553306391</v>
      </c>
      <c r="H203" s="161">
        <f>(Main!$B$18-Current_limit!G203)*Current_limit!G203/(Main!$B$18*loop_gain!$B$17*loop_gain!$B$18)</f>
        <v>0.41984068041352723</v>
      </c>
      <c r="I203" s="161">
        <f t="shared" si="20"/>
        <v>3.4801593195864742</v>
      </c>
      <c r="J203" s="161"/>
      <c r="K203" s="163">
        <f>IF(A203&gt;$B$15,IF(I203&gt;Helper_calcs!$B$15,23,3),0)</f>
        <v>0</v>
      </c>
      <c r="L203" s="162">
        <f t="shared" si="18"/>
        <v>0</v>
      </c>
      <c r="M203" s="162">
        <f t="shared" si="21"/>
        <v>0</v>
      </c>
      <c r="N203" s="161">
        <f t="shared" si="22"/>
        <v>2.6199999999999877</v>
      </c>
      <c r="O203" s="161">
        <f t="shared" si="23"/>
        <v>5</v>
      </c>
      <c r="P203" s="149">
        <f>IF(OR(M203=0,M203=3),loop_gain!$B$18,IF(Current_limit!M203=1,Current_limit!$B$12/(2*(Current_limit!N203-Helper_calcs!$B$15)),IF(OR(M203=2,M203=23),(Main!$B$18-Current_limit!O203)*Current_limit!O203/(Main!$B$18*loop_gain!$B$17*(Helper_calcs!$B$14-Helper_calcs!$B$15)),x)))</f>
        <v>2100000</v>
      </c>
      <c r="Q203" s="161"/>
    </row>
    <row r="204" spans="1:17" x14ac:dyDescent="0.25">
      <c r="A204">
        <f t="shared" si="24"/>
        <v>2.6299999999999875</v>
      </c>
      <c r="B204">
        <f>Main!$B$19/A204</f>
        <v>1.9011406844106555</v>
      </c>
      <c r="D204" s="161">
        <f t="shared" si="17"/>
        <v>1.9011406844106555</v>
      </c>
      <c r="E204" s="161">
        <f>-B204*Main!$B$18-2*Main!$B$18*loop_gain!$B$17*loop_gain!$B$18</f>
        <v>-189.13368821292786</v>
      </c>
      <c r="F204" s="161">
        <f>2*Main!$B$18*loop_gain!$B$17*loop_gain!$B$18*Helper_calcs!$B$14*Current_limit!B204</f>
        <v>1233.1711026616026</v>
      </c>
      <c r="G204" s="161">
        <f t="shared" si="19"/>
        <v>7.0147158748759537</v>
      </c>
      <c r="H204" s="161">
        <f>(Main!$B$18-Current_limit!G204)*Current_limit!G204/(Main!$B$18*loop_gain!$B$17*loop_gain!$B$18)</f>
        <v>0.42051889963052824</v>
      </c>
      <c r="I204" s="161">
        <f t="shared" si="20"/>
        <v>3.4794811003694699</v>
      </c>
      <c r="J204" s="161"/>
      <c r="K204" s="163">
        <f>IF(A204&gt;$B$15,IF(I204&gt;Helper_calcs!$B$15,23,3),0)</f>
        <v>0</v>
      </c>
      <c r="L204" s="162">
        <f t="shared" si="18"/>
        <v>0</v>
      </c>
      <c r="M204" s="162">
        <f t="shared" si="21"/>
        <v>0</v>
      </c>
      <c r="N204" s="161">
        <f t="shared" si="22"/>
        <v>2.6299999999999875</v>
      </c>
      <c r="O204" s="161">
        <f t="shared" si="23"/>
        <v>5</v>
      </c>
      <c r="P204" s="149">
        <f>IF(OR(M204=0,M204=3),loop_gain!$B$18,IF(Current_limit!M204=1,Current_limit!$B$12/(2*(Current_limit!N204-Helper_calcs!$B$15)),IF(OR(M204=2,M204=23),(Main!$B$18-Current_limit!O204)*Current_limit!O204/(Main!$B$18*loop_gain!$B$17*(Helper_calcs!$B$14-Helper_calcs!$B$15)),x)))</f>
        <v>2100000</v>
      </c>
      <c r="Q204" s="161"/>
    </row>
    <row r="205" spans="1:17" x14ac:dyDescent="0.25">
      <c r="A205">
        <f t="shared" si="24"/>
        <v>2.6399999999999872</v>
      </c>
      <c r="B205">
        <f>Main!$B$19/A205</f>
        <v>1.8939393939394031</v>
      </c>
      <c r="D205" s="161">
        <f t="shared" si="17"/>
        <v>1.8939393939394031</v>
      </c>
      <c r="E205" s="161">
        <f>-B205*Main!$B$18-2*Main!$B$18*loop_gain!$B$17*loop_gain!$B$18</f>
        <v>-189.04727272727283</v>
      </c>
      <c r="F205" s="161">
        <f>2*Main!$B$18*loop_gain!$B$17*loop_gain!$B$18*Helper_calcs!$B$14*Current_limit!B205</f>
        <v>1228.5000000000057</v>
      </c>
      <c r="G205" s="161">
        <f t="shared" si="19"/>
        <v>6.987525025647467</v>
      </c>
      <c r="H205" s="161">
        <f>(Main!$B$18-Current_limit!G205)*Current_limit!G205/(Main!$B$18*loop_gain!$B$17*loop_gain!$B$18)</f>
        <v>0.42117357291630553</v>
      </c>
      <c r="I205" s="161">
        <f t="shared" si="20"/>
        <v>3.4788264270836917</v>
      </c>
      <c r="J205" s="161"/>
      <c r="K205" s="163">
        <f>IF(A205&gt;$B$15,IF(I205&gt;Helper_calcs!$B$15,23,3),0)</f>
        <v>0</v>
      </c>
      <c r="L205" s="162">
        <f t="shared" si="18"/>
        <v>0</v>
      </c>
      <c r="M205" s="162">
        <f t="shared" si="21"/>
        <v>0</v>
      </c>
      <c r="N205" s="161">
        <f t="shared" si="22"/>
        <v>2.6399999999999872</v>
      </c>
      <c r="O205" s="161">
        <f t="shared" si="23"/>
        <v>5</v>
      </c>
      <c r="P205" s="149">
        <f>IF(OR(M205=0,M205=3),loop_gain!$B$18,IF(Current_limit!M205=1,Current_limit!$B$12/(2*(Current_limit!N205-Helper_calcs!$B$15)),IF(OR(M205=2,M205=23),(Main!$B$18-Current_limit!O205)*Current_limit!O205/(Main!$B$18*loop_gain!$B$17*(Helper_calcs!$B$14-Helper_calcs!$B$15)),x)))</f>
        <v>2100000</v>
      </c>
      <c r="Q205" s="161"/>
    </row>
    <row r="206" spans="1:17" x14ac:dyDescent="0.25">
      <c r="A206">
        <f t="shared" si="24"/>
        <v>2.649999999999987</v>
      </c>
      <c r="B206">
        <f>Main!$B$19/A206</f>
        <v>1.8867924528301978</v>
      </c>
      <c r="D206" s="161">
        <f t="shared" si="17"/>
        <v>1.8867924528301978</v>
      </c>
      <c r="E206" s="161">
        <f>-B206*Main!$B$18-2*Main!$B$18*loop_gain!$B$17*loop_gain!$B$18</f>
        <v>-188.96150943396236</v>
      </c>
      <c r="F206" s="161">
        <f>2*Main!$B$18*loop_gain!$B$17*loop_gain!$B$18*Helper_calcs!$B$14*Current_limit!B206</f>
        <v>1223.8641509434019</v>
      </c>
      <c r="G206" s="161">
        <f t="shared" si="19"/>
        <v>6.9605611102782303</v>
      </c>
      <c r="H206" s="161">
        <f>(Main!$B$18-Current_limit!G206)*Current_limit!G206/(Main!$B$18*loop_gain!$B$17*loop_gain!$B$18)</f>
        <v>0.42180522310511126</v>
      </c>
      <c r="I206" s="161">
        <f t="shared" si="20"/>
        <v>3.4781947768948887</v>
      </c>
      <c r="J206" s="161"/>
      <c r="K206" s="163">
        <f>IF(A206&gt;$B$15,IF(I206&gt;Helper_calcs!$B$15,23,3),0)</f>
        <v>0</v>
      </c>
      <c r="L206" s="162">
        <f t="shared" si="18"/>
        <v>0</v>
      </c>
      <c r="M206" s="162">
        <f t="shared" si="21"/>
        <v>0</v>
      </c>
      <c r="N206" s="161">
        <f t="shared" si="22"/>
        <v>2.649999999999987</v>
      </c>
      <c r="O206" s="161">
        <f t="shared" si="23"/>
        <v>5</v>
      </c>
      <c r="P206" s="149">
        <f>IF(OR(M206=0,M206=3),loop_gain!$B$18,IF(Current_limit!M206=1,Current_limit!$B$12/(2*(Current_limit!N206-Helper_calcs!$B$15)),IF(OR(M206=2,M206=23),(Main!$B$18-Current_limit!O206)*Current_limit!O206/(Main!$B$18*loop_gain!$B$17*(Helper_calcs!$B$14-Helper_calcs!$B$15)),x)))</f>
        <v>2100000</v>
      </c>
      <c r="Q206" s="161"/>
    </row>
    <row r="207" spans="1:17" x14ac:dyDescent="0.25">
      <c r="A207">
        <f t="shared" si="24"/>
        <v>2.6599999999999868</v>
      </c>
      <c r="B207">
        <f>Main!$B$19/A207</f>
        <v>1.8796992481203101</v>
      </c>
      <c r="D207" s="161">
        <f t="shared" si="17"/>
        <v>1.8796992481203101</v>
      </c>
      <c r="E207" s="161">
        <f>-B207*Main!$B$18-2*Main!$B$18*loop_gain!$B$17*loop_gain!$B$18</f>
        <v>-188.87639097744372</v>
      </c>
      <c r="F207" s="161">
        <f>2*Main!$B$18*loop_gain!$B$17*loop_gain!$B$18*Helper_calcs!$B$14*Current_limit!B207</f>
        <v>1219.2631578947428</v>
      </c>
      <c r="G207" s="161">
        <f t="shared" si="19"/>
        <v>6.933821090296604</v>
      </c>
      <c r="H207" s="161">
        <f>(Main!$B$18-Current_limit!G207)*Current_limit!G207/(Main!$B$18*loop_gain!$B$17*loop_gain!$B$18)</f>
        <v>0.42241435992444998</v>
      </c>
      <c r="I207" s="161">
        <f t="shared" si="20"/>
        <v>3.4775856400755498</v>
      </c>
      <c r="J207" s="161"/>
      <c r="K207" s="163">
        <f>IF(A207&gt;$B$15,IF(I207&gt;Helper_calcs!$B$15,23,3),0)</f>
        <v>0</v>
      </c>
      <c r="L207" s="162">
        <f t="shared" si="18"/>
        <v>0</v>
      </c>
      <c r="M207" s="162">
        <f t="shared" si="21"/>
        <v>0</v>
      </c>
      <c r="N207" s="161">
        <f t="shared" si="22"/>
        <v>2.6599999999999868</v>
      </c>
      <c r="O207" s="161">
        <f t="shared" si="23"/>
        <v>5</v>
      </c>
      <c r="P207" s="149">
        <f>IF(OR(M207=0,M207=3),loop_gain!$B$18,IF(Current_limit!M207=1,Current_limit!$B$12/(2*(Current_limit!N207-Helper_calcs!$B$15)),IF(OR(M207=2,M207=23),(Main!$B$18-Current_limit!O207)*Current_limit!O207/(Main!$B$18*loop_gain!$B$17*(Helper_calcs!$B$14-Helper_calcs!$B$15)),x)))</f>
        <v>2100000</v>
      </c>
      <c r="Q207" s="161"/>
    </row>
    <row r="208" spans="1:17" x14ac:dyDescent="0.25">
      <c r="A208">
        <f t="shared" si="24"/>
        <v>2.6699999999999866</v>
      </c>
      <c r="B208">
        <f>Main!$B$19/A208</f>
        <v>1.872659176029972</v>
      </c>
      <c r="D208" s="161">
        <f t="shared" si="17"/>
        <v>1.872659176029972</v>
      </c>
      <c r="E208" s="161">
        <f>-B208*Main!$B$18-2*Main!$B$18*loop_gain!$B$17*loop_gain!$B$18</f>
        <v>-188.79191011235966</v>
      </c>
      <c r="F208" s="161">
        <f>2*Main!$B$18*loop_gain!$B$17*loop_gain!$B$18*Helper_calcs!$B$14*Current_limit!B208</f>
        <v>1214.6966292134891</v>
      </c>
      <c r="G208" s="161">
        <f t="shared" si="19"/>
        <v>6.9073019846603554</v>
      </c>
      <c r="H208" s="161">
        <f>(Main!$B$18-Current_limit!G208)*Current_limit!G208/(Main!$B$18*loop_gain!$B$17*loop_gain!$B$18)</f>
        <v>0.4230014803827728</v>
      </c>
      <c r="I208" s="161">
        <f t="shared" si="20"/>
        <v>3.4769985196172248</v>
      </c>
      <c r="J208" s="161"/>
      <c r="K208" s="163">
        <f>IF(A208&gt;$B$15,IF(I208&gt;Helper_calcs!$B$15,23,3),0)</f>
        <v>0</v>
      </c>
      <c r="L208" s="162">
        <f t="shared" si="18"/>
        <v>0</v>
      </c>
      <c r="M208" s="162">
        <f t="shared" si="21"/>
        <v>0</v>
      </c>
      <c r="N208" s="161">
        <f t="shared" si="22"/>
        <v>2.6699999999999866</v>
      </c>
      <c r="O208" s="161">
        <f t="shared" si="23"/>
        <v>5</v>
      </c>
      <c r="P208" s="149">
        <f>IF(OR(M208=0,M208=3),loop_gain!$B$18,IF(Current_limit!M208=1,Current_limit!$B$12/(2*(Current_limit!N208-Helper_calcs!$B$15)),IF(OR(M208=2,M208=23),(Main!$B$18-Current_limit!O208)*Current_limit!O208/(Main!$B$18*loop_gain!$B$17*(Helper_calcs!$B$14-Helper_calcs!$B$15)),x)))</f>
        <v>2100000</v>
      </c>
      <c r="Q208" s="161"/>
    </row>
    <row r="209" spans="1:17" x14ac:dyDescent="0.25">
      <c r="A209">
        <f t="shared" si="24"/>
        <v>2.6799999999999864</v>
      </c>
      <c r="B209">
        <f>Main!$B$19/A209</f>
        <v>1.8656716417910542</v>
      </c>
      <c r="D209" s="161">
        <f t="shared" si="17"/>
        <v>1.8656716417910542</v>
      </c>
      <c r="E209" s="161">
        <f>-B209*Main!$B$18-2*Main!$B$18*loop_gain!$B$17*loop_gain!$B$18</f>
        <v>-188.70805970149263</v>
      </c>
      <c r="F209" s="161">
        <f>2*Main!$B$18*loop_gain!$B$17*loop_gain!$B$18*Helper_calcs!$B$14*Current_limit!B209</f>
        <v>1210.1641791044835</v>
      </c>
      <c r="G209" s="161">
        <f t="shared" si="19"/>
        <v>6.8810008683361268</v>
      </c>
      <c r="H209" s="161">
        <f>(Main!$B$18-Current_limit!G209)*Current_limit!G209/(Main!$B$18*loop_gain!$B$17*loop_gain!$B$18)</f>
        <v>0.42356706914371084</v>
      </c>
      <c r="I209" s="161">
        <f t="shared" si="20"/>
        <v>3.4764329308562902</v>
      </c>
      <c r="J209" s="161"/>
      <c r="K209" s="163">
        <f>IF(A209&gt;$B$15,IF(I209&gt;Helper_calcs!$B$15,23,3),0)</f>
        <v>0</v>
      </c>
      <c r="L209" s="162">
        <f t="shared" si="18"/>
        <v>0</v>
      </c>
      <c r="M209" s="162">
        <f t="shared" si="21"/>
        <v>0</v>
      </c>
      <c r="N209" s="161">
        <f t="shared" si="22"/>
        <v>2.6799999999999864</v>
      </c>
      <c r="O209" s="161">
        <f t="shared" si="23"/>
        <v>5</v>
      </c>
      <c r="P209" s="149">
        <f>IF(OR(M209=0,M209=3),loop_gain!$B$18,IF(Current_limit!M209=1,Current_limit!$B$12/(2*(Current_limit!N209-Helper_calcs!$B$15)),IF(OR(M209=2,M209=23),(Main!$B$18-Current_limit!O209)*Current_limit!O209/(Main!$B$18*loop_gain!$B$17*(Helper_calcs!$B$14-Helper_calcs!$B$15)),x)))</f>
        <v>2100000</v>
      </c>
      <c r="Q209" s="161"/>
    </row>
    <row r="210" spans="1:17" x14ac:dyDescent="0.25">
      <c r="A210">
        <f t="shared" si="24"/>
        <v>2.6899999999999862</v>
      </c>
      <c r="B210">
        <f>Main!$B$19/A210</f>
        <v>1.8587360594795634</v>
      </c>
      <c r="D210" s="161">
        <f t="shared" si="17"/>
        <v>1.8587360594795634</v>
      </c>
      <c r="E210" s="161">
        <f>-B210*Main!$B$18-2*Main!$B$18*loop_gain!$B$17*loop_gain!$B$18</f>
        <v>-188.62483271375476</v>
      </c>
      <c r="F210" s="161">
        <f>2*Main!$B$18*loop_gain!$B$17*loop_gain!$B$18*Helper_calcs!$B$14*Current_limit!B210</f>
        <v>1205.6654275092997</v>
      </c>
      <c r="G210" s="161">
        <f t="shared" si="19"/>
        <v>6.854914870922534</v>
      </c>
      <c r="H210" s="161">
        <f>(Main!$B$18-Current_limit!G210)*Current_limit!G210/(Main!$B$18*loop_gain!$B$17*loop_gain!$B$18)</f>
        <v>0.42411159888739186</v>
      </c>
      <c r="I210" s="161">
        <f t="shared" si="20"/>
        <v>3.4758884011126083</v>
      </c>
      <c r="J210" s="161"/>
      <c r="K210" s="163">
        <f>IF(A210&gt;$B$15,IF(I210&gt;Helper_calcs!$B$15,23,3),0)</f>
        <v>0</v>
      </c>
      <c r="L210" s="162">
        <f t="shared" si="18"/>
        <v>0</v>
      </c>
      <c r="M210" s="162">
        <f t="shared" si="21"/>
        <v>0</v>
      </c>
      <c r="N210" s="161">
        <f t="shared" si="22"/>
        <v>2.6899999999999862</v>
      </c>
      <c r="O210" s="161">
        <f t="shared" si="23"/>
        <v>5</v>
      </c>
      <c r="P210" s="149">
        <f>IF(OR(M210=0,M210=3),loop_gain!$B$18,IF(Current_limit!M210=1,Current_limit!$B$12/(2*(Current_limit!N210-Helper_calcs!$B$15)),IF(OR(M210=2,M210=23),(Main!$B$18-Current_limit!O210)*Current_limit!O210/(Main!$B$18*loop_gain!$B$17*(Helper_calcs!$B$14-Helper_calcs!$B$15)),x)))</f>
        <v>2100000</v>
      </c>
      <c r="Q210" s="161"/>
    </row>
    <row r="211" spans="1:17" x14ac:dyDescent="0.25">
      <c r="A211">
        <f t="shared" si="24"/>
        <v>2.699999999999986</v>
      </c>
      <c r="B211">
        <f>Main!$B$19/A211</f>
        <v>1.8518518518518614</v>
      </c>
      <c r="D211" s="161">
        <f t="shared" si="17"/>
        <v>1.8518518518518614</v>
      </c>
      <c r="E211" s="161">
        <f>-B211*Main!$B$18-2*Main!$B$18*loop_gain!$B$17*loop_gain!$B$18</f>
        <v>-188.54222222222234</v>
      </c>
      <c r="F211" s="161">
        <f>2*Main!$B$18*loop_gain!$B$17*loop_gain!$B$18*Helper_calcs!$B$14*Current_limit!B211</f>
        <v>1201.200000000006</v>
      </c>
      <c r="G211" s="161">
        <f t="shared" si="19"/>
        <v>6.8290411753154494</v>
      </c>
      <c r="H211" s="161">
        <f>(Main!$B$18-Current_limit!G211)*Current_limit!G211/(Main!$B$18*loop_gain!$B$17*loop_gain!$B$18)</f>
        <v>0.42463553065935039</v>
      </c>
      <c r="I211" s="161">
        <f t="shared" si="20"/>
        <v>3.4753644693406485</v>
      </c>
      <c r="J211" s="161"/>
      <c r="K211" s="163">
        <f>IF(A211&gt;$B$15,IF(I211&gt;Helper_calcs!$B$15,23,3),0)</f>
        <v>0</v>
      </c>
      <c r="L211" s="162">
        <f t="shared" si="18"/>
        <v>0</v>
      </c>
      <c r="M211" s="162">
        <f t="shared" si="21"/>
        <v>0</v>
      </c>
      <c r="N211" s="161">
        <f t="shared" si="22"/>
        <v>2.699999999999986</v>
      </c>
      <c r="O211" s="161">
        <f t="shared" si="23"/>
        <v>5</v>
      </c>
      <c r="P211" s="149">
        <f>IF(OR(M211=0,M211=3),loop_gain!$B$18,IF(Current_limit!M211=1,Current_limit!$B$12/(2*(Current_limit!N211-Helper_calcs!$B$15)),IF(OR(M211=2,M211=23),(Main!$B$18-Current_limit!O211)*Current_limit!O211/(Main!$B$18*loop_gain!$B$17*(Helper_calcs!$B$14-Helper_calcs!$B$15)),x)))</f>
        <v>2100000</v>
      </c>
      <c r="Q211" s="161"/>
    </row>
    <row r="212" spans="1:17" x14ac:dyDescent="0.25">
      <c r="A212">
        <f t="shared" si="24"/>
        <v>2.7099999999999858</v>
      </c>
      <c r="B212">
        <f>Main!$B$19/A212</f>
        <v>1.8450184501845115</v>
      </c>
      <c r="D212" s="161">
        <f t="shared" si="17"/>
        <v>1.8450184501845115</v>
      </c>
      <c r="E212" s="161">
        <f>-B212*Main!$B$18-2*Main!$B$18*loop_gain!$B$17*loop_gain!$B$18</f>
        <v>-188.46022140221413</v>
      </c>
      <c r="F212" s="161">
        <f>2*Main!$B$18*loop_gain!$B$17*loop_gain!$B$18*Helper_calcs!$B$14*Current_limit!B212</f>
        <v>1196.7675276752827</v>
      </c>
      <c r="G212" s="161">
        <f t="shared" si="19"/>
        <v>6.8033770164137524</v>
      </c>
      <c r="H212" s="161">
        <f>(Main!$B$18-Current_limit!G212)*Current_limit!G212/(Main!$B$18*loop_gain!$B$17*loop_gain!$B$18)</f>
        <v>0.42513931420752937</v>
      </c>
      <c r="I212" s="161">
        <f t="shared" si="20"/>
        <v>3.47486068579247</v>
      </c>
      <c r="J212" s="161"/>
      <c r="K212" s="163">
        <f>IF(A212&gt;$B$15,IF(I212&gt;Helper_calcs!$B$15,23,3),0)</f>
        <v>0</v>
      </c>
      <c r="L212" s="162">
        <f t="shared" si="18"/>
        <v>0</v>
      </c>
      <c r="M212" s="162">
        <f t="shared" si="21"/>
        <v>0</v>
      </c>
      <c r="N212" s="161">
        <f t="shared" si="22"/>
        <v>2.7099999999999858</v>
      </c>
      <c r="O212" s="161">
        <f t="shared" si="23"/>
        <v>5</v>
      </c>
      <c r="P212" s="149">
        <f>IF(OR(M212=0,M212=3),loop_gain!$B$18,IF(Current_limit!M212=1,Current_limit!$B$12/(2*(Current_limit!N212-Helper_calcs!$B$15)),IF(OR(M212=2,M212=23),(Main!$B$18-Current_limit!O212)*Current_limit!O212/(Main!$B$18*loop_gain!$B$17*(Helper_calcs!$B$14-Helper_calcs!$B$15)),x)))</f>
        <v>2100000</v>
      </c>
      <c r="Q212" s="161"/>
    </row>
    <row r="213" spans="1:17" x14ac:dyDescent="0.25">
      <c r="A213">
        <f t="shared" si="24"/>
        <v>2.7199999999999855</v>
      </c>
      <c r="B213">
        <f>Main!$B$19/A213</f>
        <v>1.8382352941176567</v>
      </c>
      <c r="D213" s="161">
        <f t="shared" si="17"/>
        <v>1.8382352941176567</v>
      </c>
      <c r="E213" s="161">
        <f>-B213*Main!$B$18-2*Main!$B$18*loop_gain!$B$17*loop_gain!$B$18</f>
        <v>-188.37882352941187</v>
      </c>
      <c r="F213" s="161">
        <f>2*Main!$B$18*loop_gain!$B$17*loop_gain!$B$18*Helper_calcs!$B$14*Current_limit!B213</f>
        <v>1192.3676470588296</v>
      </c>
      <c r="G213" s="161">
        <f t="shared" si="19"/>
        <v>6.777919679864155</v>
      </c>
      <c r="H213" s="161">
        <f>(Main!$B$18-Current_limit!G213)*Current_limit!G213/(Main!$B$18*loop_gain!$B$17*loop_gain!$B$18)</f>
        <v>0.42562338830784097</v>
      </c>
      <c r="I213" s="161">
        <f t="shared" si="20"/>
        <v>3.4743766116921604</v>
      </c>
      <c r="J213" s="161"/>
      <c r="K213" s="163">
        <f>IF(A213&gt;$B$15,IF(I213&gt;Helper_calcs!$B$15,23,3),0)</f>
        <v>0</v>
      </c>
      <c r="L213" s="162">
        <f t="shared" si="18"/>
        <v>0</v>
      </c>
      <c r="M213" s="162">
        <f t="shared" si="21"/>
        <v>0</v>
      </c>
      <c r="N213" s="161">
        <f t="shared" si="22"/>
        <v>2.7199999999999855</v>
      </c>
      <c r="O213" s="161">
        <f t="shared" si="23"/>
        <v>5</v>
      </c>
      <c r="P213" s="149">
        <f>IF(OR(M213=0,M213=3),loop_gain!$B$18,IF(Current_limit!M213=1,Current_limit!$B$12/(2*(Current_limit!N213-Helper_calcs!$B$15)),IF(OR(M213=2,M213=23),(Main!$B$18-Current_limit!O213)*Current_limit!O213/(Main!$B$18*loop_gain!$B$17*(Helper_calcs!$B$14-Helper_calcs!$B$15)),x)))</f>
        <v>2100000</v>
      </c>
      <c r="Q213" s="161"/>
    </row>
    <row r="214" spans="1:17" x14ac:dyDescent="0.25">
      <c r="A214">
        <f t="shared" si="24"/>
        <v>2.7299999999999853</v>
      </c>
      <c r="B214">
        <f>Main!$B$19/A214</f>
        <v>1.8315018315018414</v>
      </c>
      <c r="D214" s="161">
        <f t="shared" si="17"/>
        <v>1.8315018315018414</v>
      </c>
      <c r="E214" s="161">
        <f>-B214*Main!$B$18-2*Main!$B$18*loop_gain!$B$17*loop_gain!$B$18</f>
        <v>-188.29802197802209</v>
      </c>
      <c r="F214" s="161">
        <f>2*Main!$B$18*loop_gain!$B$17*loop_gain!$B$18*Helper_calcs!$B$14*Current_limit!B214</f>
        <v>1188.0000000000064</v>
      </c>
      <c r="G214" s="161">
        <f t="shared" si="19"/>
        <v>6.7526665008436852</v>
      </c>
      <c r="H214" s="161">
        <f>(Main!$B$18-Current_limit!G214)*Current_limit!G214/(Main!$B$18*loop_gain!$B$17*loop_gain!$B$18)</f>
        <v>0.42608818107873642</v>
      </c>
      <c r="I214" s="161">
        <f t="shared" si="20"/>
        <v>3.4739118189212643</v>
      </c>
      <c r="J214" s="161"/>
      <c r="K214" s="163">
        <f>IF(A214&gt;$B$15,IF(I214&gt;Helper_calcs!$B$15,23,3),0)</f>
        <v>0</v>
      </c>
      <c r="L214" s="162">
        <f t="shared" si="18"/>
        <v>0</v>
      </c>
      <c r="M214" s="162">
        <f t="shared" si="21"/>
        <v>0</v>
      </c>
      <c r="N214" s="161">
        <f t="shared" si="22"/>
        <v>2.7299999999999853</v>
      </c>
      <c r="O214" s="161">
        <f t="shared" si="23"/>
        <v>5</v>
      </c>
      <c r="P214" s="149">
        <f>IF(OR(M214=0,M214=3),loop_gain!$B$18,IF(Current_limit!M214=1,Current_limit!$B$12/(2*(Current_limit!N214-Helper_calcs!$B$15)),IF(OR(M214=2,M214=23),(Main!$B$18-Current_limit!O214)*Current_limit!O214/(Main!$B$18*loop_gain!$B$17*(Helper_calcs!$B$14-Helper_calcs!$B$15)),x)))</f>
        <v>2100000</v>
      </c>
      <c r="Q214" s="161"/>
    </row>
    <row r="215" spans="1:17" x14ac:dyDescent="0.25">
      <c r="A215">
        <f t="shared" si="24"/>
        <v>2.7399999999999851</v>
      </c>
      <c r="B215">
        <f>Main!$B$19/A215</f>
        <v>1.8248175182481852</v>
      </c>
      <c r="D215" s="161">
        <f t="shared" ref="D215:D278" si="25">B215</f>
        <v>1.8248175182481852</v>
      </c>
      <c r="E215" s="161">
        <f>-B215*Main!$B$18-2*Main!$B$18*loop_gain!$B$17*loop_gain!$B$18</f>
        <v>-188.21781021897823</v>
      </c>
      <c r="F215" s="161">
        <f>2*Main!$B$18*loop_gain!$B$17*loop_gain!$B$18*Helper_calcs!$B$14*Current_limit!B215</f>
        <v>1183.6642335766487</v>
      </c>
      <c r="G215" s="161">
        <f t="shared" si="19"/>
        <v>6.7276148628784886</v>
      </c>
      <c r="H215" s="161">
        <f>(Main!$B$18-Current_limit!G215)*Current_limit!G215/(Main!$B$18*loop_gain!$B$17*loop_gain!$B$18)</f>
        <v>0.4265341102852131</v>
      </c>
      <c r="I215" s="161">
        <f t="shared" si="20"/>
        <v>3.473465889714785</v>
      </c>
      <c r="J215" s="161"/>
      <c r="K215" s="163">
        <f>IF(A215&gt;$B$15,IF(I215&gt;Helper_calcs!$B$15,23,3),0)</f>
        <v>0</v>
      </c>
      <c r="L215" s="162">
        <f t="shared" ref="L215:L278" si="26">IF(A215&gt;$B$13,IF(A215&gt;$B$14,2,1),0)</f>
        <v>0</v>
      </c>
      <c r="M215" s="162">
        <f t="shared" si="21"/>
        <v>0</v>
      </c>
      <c r="N215" s="161">
        <f t="shared" si="22"/>
        <v>2.7399999999999851</v>
      </c>
      <c r="O215" s="161">
        <f t="shared" si="23"/>
        <v>5</v>
      </c>
      <c r="P215" s="149">
        <f>IF(OR(M215=0,M215=3),loop_gain!$B$18,IF(Current_limit!M215=1,Current_limit!$B$12/(2*(Current_limit!N215-Helper_calcs!$B$15)),IF(OR(M215=2,M215=23),(Main!$B$18-Current_limit!O215)*Current_limit!O215/(Main!$B$18*loop_gain!$B$17*(Helper_calcs!$B$14-Helper_calcs!$B$15)),x)))</f>
        <v>2100000</v>
      </c>
      <c r="Q215" s="161"/>
    </row>
    <row r="216" spans="1:17" x14ac:dyDescent="0.25">
      <c r="A216">
        <f t="shared" si="24"/>
        <v>2.7499999999999849</v>
      </c>
      <c r="B216">
        <f>Main!$B$19/A216</f>
        <v>1.8181818181818281</v>
      </c>
      <c r="D216" s="161">
        <f t="shared" si="25"/>
        <v>1.8181818181818281</v>
      </c>
      <c r="E216" s="161">
        <f>-B216*Main!$B$18-2*Main!$B$18*loop_gain!$B$17*loop_gain!$B$18</f>
        <v>-188.13818181818192</v>
      </c>
      <c r="F216" s="161">
        <f>2*Main!$B$18*loop_gain!$B$17*loop_gain!$B$18*Helper_calcs!$B$14*Current_limit!B216</f>
        <v>1179.3600000000063</v>
      </c>
      <c r="G216" s="161">
        <f t="shared" ref="G216:G279" si="27">(-E216-SQRT(E216^2-4*D216*F216))/(2*D216)</f>
        <v>6.7027621966976065</v>
      </c>
      <c r="H216" s="161">
        <f>(Main!$B$18-Current_limit!G216)*Current_limit!G216/(Main!$B$18*loop_gain!$B$17*loop_gain!$B$18)</f>
        <v>0.42696158363266901</v>
      </c>
      <c r="I216" s="161">
        <f t="shared" ref="I216:I279" si="28">(G216/B216)-0.5*H216</f>
        <v>3.4730384163673289</v>
      </c>
      <c r="J216" s="161"/>
      <c r="K216" s="163">
        <f>IF(A216&gt;$B$15,IF(I216&gt;Helper_calcs!$B$15,23,3),0)</f>
        <v>0</v>
      </c>
      <c r="L216" s="162">
        <f t="shared" si="26"/>
        <v>0</v>
      </c>
      <c r="M216" s="162">
        <f t="shared" ref="M216:M279" si="29">IF($B$16="N",L216,K216)</f>
        <v>0</v>
      </c>
      <c r="N216" s="161">
        <f t="shared" ref="N216:N279" si="30">IF(OR(M216=0,M216=1),A216,IF(OR(M216=2,M216=23),$B$14,G216/B216))</f>
        <v>2.7499999999999849</v>
      </c>
      <c r="O216" s="161">
        <f t="shared" ref="O216:O279" si="31">N216*B216</f>
        <v>5</v>
      </c>
      <c r="P216" s="149">
        <f>IF(OR(M216=0,M216=3),loop_gain!$B$18,IF(Current_limit!M216=1,Current_limit!$B$12/(2*(Current_limit!N216-Helper_calcs!$B$15)),IF(OR(M216=2,M216=23),(Main!$B$18-Current_limit!O216)*Current_limit!O216/(Main!$B$18*loop_gain!$B$17*(Helper_calcs!$B$14-Helper_calcs!$B$15)),x)))</f>
        <v>2100000</v>
      </c>
      <c r="Q216" s="161"/>
    </row>
    <row r="217" spans="1:17" x14ac:dyDescent="0.25">
      <c r="A217">
        <f t="shared" si="24"/>
        <v>2.7599999999999847</v>
      </c>
      <c r="B217">
        <f>Main!$B$19/A217</f>
        <v>1.8115942028985608</v>
      </c>
      <c r="D217" s="161">
        <f t="shared" si="25"/>
        <v>1.8115942028985608</v>
      </c>
      <c r="E217" s="161">
        <f>-B217*Main!$B$18-2*Main!$B$18*loop_gain!$B$17*loop_gain!$B$18</f>
        <v>-188.05913043478273</v>
      </c>
      <c r="F217" s="161">
        <f>2*Main!$B$18*loop_gain!$B$17*loop_gain!$B$18*Helper_calcs!$B$14*Current_limit!B217</f>
        <v>1175.0869565217454</v>
      </c>
      <c r="G217" s="161">
        <f t="shared" si="27"/>
        <v>6.6781059791205122</v>
      </c>
      <c r="H217" s="161">
        <f>(Main!$B$18-Current_limit!G217)*Current_limit!G217/(Main!$B$18*loop_gain!$B$17*loop_gain!$B$18)</f>
        <v>0.42737099905099823</v>
      </c>
      <c r="I217" s="161">
        <f t="shared" si="28"/>
        <v>3.4726290009490031</v>
      </c>
      <c r="J217" s="161"/>
      <c r="K217" s="163">
        <f>IF(A217&gt;$B$15,IF(I217&gt;Helper_calcs!$B$15,23,3),0)</f>
        <v>0</v>
      </c>
      <c r="L217" s="162">
        <f t="shared" si="26"/>
        <v>0</v>
      </c>
      <c r="M217" s="162">
        <f t="shared" si="29"/>
        <v>0</v>
      </c>
      <c r="N217" s="161">
        <f t="shared" si="30"/>
        <v>2.7599999999999847</v>
      </c>
      <c r="O217" s="161">
        <f t="shared" si="31"/>
        <v>5</v>
      </c>
      <c r="P217" s="149">
        <f>IF(OR(M217=0,M217=3),loop_gain!$B$18,IF(Current_limit!M217=1,Current_limit!$B$12/(2*(Current_limit!N217-Helper_calcs!$B$15)),IF(OR(M217=2,M217=23),(Main!$B$18-Current_limit!O217)*Current_limit!O217/(Main!$B$18*loop_gain!$B$17*(Helper_calcs!$B$14-Helper_calcs!$B$15)),x)))</f>
        <v>2100000</v>
      </c>
      <c r="Q217" s="161"/>
    </row>
    <row r="218" spans="1:17" x14ac:dyDescent="0.25">
      <c r="A218">
        <f t="shared" si="24"/>
        <v>2.7699999999999845</v>
      </c>
      <c r="B218">
        <f>Main!$B$19/A218</f>
        <v>1.8050541516245588</v>
      </c>
      <c r="D218" s="161">
        <f t="shared" si="25"/>
        <v>1.8050541516245588</v>
      </c>
      <c r="E218" s="161">
        <f>-B218*Main!$B$18-2*Main!$B$18*loop_gain!$B$17*loop_gain!$B$18</f>
        <v>-187.98064981949472</v>
      </c>
      <c r="F218" s="161">
        <f>2*Main!$B$18*loop_gain!$B$17*loop_gain!$B$18*Helper_calcs!$B$14*Current_limit!B218</f>
        <v>1170.8447653429666</v>
      </c>
      <c r="G218" s="161">
        <f t="shared" si="27"/>
        <v>6.6536437319771977</v>
      </c>
      <c r="H218" s="161">
        <f>(Main!$B$18-Current_limit!G218)*Current_limit!G218/(Main!$B$18*loop_gain!$B$17*loop_gain!$B$18)</f>
        <v>0.42776274496929922</v>
      </c>
      <c r="I218" s="161">
        <f t="shared" si="28"/>
        <v>3.4722372550306972</v>
      </c>
      <c r="J218" s="161"/>
      <c r="K218" s="163">
        <f>IF(A218&gt;$B$15,IF(I218&gt;Helper_calcs!$B$15,23,3),0)</f>
        <v>0</v>
      </c>
      <c r="L218" s="162">
        <f t="shared" si="26"/>
        <v>0</v>
      </c>
      <c r="M218" s="162">
        <f t="shared" si="29"/>
        <v>0</v>
      </c>
      <c r="N218" s="161">
        <f t="shared" si="30"/>
        <v>2.7699999999999845</v>
      </c>
      <c r="O218" s="161">
        <f t="shared" si="31"/>
        <v>5</v>
      </c>
      <c r="P218" s="149">
        <f>IF(OR(M218=0,M218=3),loop_gain!$B$18,IF(Current_limit!M218=1,Current_limit!$B$12/(2*(Current_limit!N218-Helper_calcs!$B$15)),IF(OR(M218=2,M218=23),(Main!$B$18-Current_limit!O218)*Current_limit!O218/(Main!$B$18*loop_gain!$B$17*(Helper_calcs!$B$14-Helper_calcs!$B$15)),x)))</f>
        <v>2100000</v>
      </c>
      <c r="Q218" s="161"/>
    </row>
    <row r="219" spans="1:17" x14ac:dyDescent="0.25">
      <c r="A219">
        <f t="shared" si="24"/>
        <v>2.7799999999999843</v>
      </c>
      <c r="B219">
        <f>Main!$B$19/A219</f>
        <v>1.7985611510791468</v>
      </c>
      <c r="D219" s="161">
        <f t="shared" si="25"/>
        <v>1.7985611510791468</v>
      </c>
      <c r="E219" s="161">
        <f>-B219*Main!$B$18-2*Main!$B$18*loop_gain!$B$17*loop_gain!$B$18</f>
        <v>-187.90273381294975</v>
      </c>
      <c r="F219" s="161">
        <f>2*Main!$B$18*loop_gain!$B$17*loop_gain!$B$18*Helper_calcs!$B$14*Current_limit!B219</f>
        <v>1166.6330935251863</v>
      </c>
      <c r="G219" s="161">
        <f t="shared" si="27"/>
        <v>6.6293730210597923</v>
      </c>
      <c r="H219" s="161">
        <f>(Main!$B$18-Current_limit!G219)*Current_limit!G219/(Main!$B$18*loop_gain!$B$17*loop_gain!$B$18)</f>
        <v>0.42813720058155452</v>
      </c>
      <c r="I219" s="161">
        <f t="shared" si="28"/>
        <v>3.4718627994184463</v>
      </c>
      <c r="J219" s="161"/>
      <c r="K219" s="163">
        <f>IF(A219&gt;$B$15,IF(I219&gt;Helper_calcs!$B$15,23,3),0)</f>
        <v>0</v>
      </c>
      <c r="L219" s="162">
        <f t="shared" si="26"/>
        <v>0</v>
      </c>
      <c r="M219" s="162">
        <f t="shared" si="29"/>
        <v>0</v>
      </c>
      <c r="N219" s="161">
        <f t="shared" si="30"/>
        <v>2.7799999999999843</v>
      </c>
      <c r="O219" s="161">
        <f t="shared" si="31"/>
        <v>5</v>
      </c>
      <c r="P219" s="149">
        <f>IF(OR(M219=0,M219=3),loop_gain!$B$18,IF(Current_limit!M219=1,Current_limit!$B$12/(2*(Current_limit!N219-Helper_calcs!$B$15)),IF(OR(M219=2,M219=23),(Main!$B$18-Current_limit!O219)*Current_limit!O219/(Main!$B$18*loop_gain!$B$17*(Helper_calcs!$B$14-Helper_calcs!$B$15)),x)))</f>
        <v>2100000</v>
      </c>
      <c r="Q219" s="161"/>
    </row>
    <row r="220" spans="1:17" x14ac:dyDescent="0.25">
      <c r="A220">
        <f t="shared" si="24"/>
        <v>2.789999999999984</v>
      </c>
      <c r="B220">
        <f>Main!$B$19/A220</f>
        <v>1.792114695340512</v>
      </c>
      <c r="D220" s="161">
        <f t="shared" si="25"/>
        <v>1.792114695340512</v>
      </c>
      <c r="E220" s="161">
        <f>-B220*Main!$B$18-2*Main!$B$18*loop_gain!$B$17*loop_gain!$B$18</f>
        <v>-187.82537634408612</v>
      </c>
      <c r="F220" s="161">
        <f>2*Main!$B$18*loop_gain!$B$17*loop_gain!$B$18*Helper_calcs!$B$14*Current_limit!B220</f>
        <v>1162.4516129032322</v>
      </c>
      <c r="G220" s="161">
        <f t="shared" si="27"/>
        <v>6.6052914551043163</v>
      </c>
      <c r="H220" s="161">
        <f>(Main!$B$18-Current_limit!G220)*Current_limit!G220/(Main!$B$18*loop_gain!$B$17*loop_gain!$B$18)</f>
        <v>0.42849473610362793</v>
      </c>
      <c r="I220" s="161">
        <f t="shared" si="28"/>
        <v>3.4715052638963737</v>
      </c>
      <c r="J220" s="161"/>
      <c r="K220" s="163">
        <f>IF(A220&gt;$B$15,IF(I220&gt;Helper_calcs!$B$15,23,3),0)</f>
        <v>0</v>
      </c>
      <c r="L220" s="162">
        <f t="shared" si="26"/>
        <v>0</v>
      </c>
      <c r="M220" s="162">
        <f t="shared" si="29"/>
        <v>0</v>
      </c>
      <c r="N220" s="161">
        <f t="shared" si="30"/>
        <v>2.789999999999984</v>
      </c>
      <c r="O220" s="161">
        <f t="shared" si="31"/>
        <v>5</v>
      </c>
      <c r="P220" s="149">
        <f>IF(OR(M220=0,M220=3),loop_gain!$B$18,IF(Current_limit!M220=1,Current_limit!$B$12/(2*(Current_limit!N220-Helper_calcs!$B$15)),IF(OR(M220=2,M220=23),(Main!$B$18-Current_limit!O220)*Current_limit!O220/(Main!$B$18*loop_gain!$B$17*(Helper_calcs!$B$14-Helper_calcs!$B$15)),x)))</f>
        <v>2100000</v>
      </c>
      <c r="Q220" s="161"/>
    </row>
    <row r="221" spans="1:17" x14ac:dyDescent="0.25">
      <c r="A221">
        <f t="shared" si="24"/>
        <v>2.7999999999999838</v>
      </c>
      <c r="B221">
        <f>Main!$B$19/A221</f>
        <v>1.785714285714296</v>
      </c>
      <c r="D221" s="161">
        <f t="shared" si="25"/>
        <v>1.785714285714296</v>
      </c>
      <c r="E221" s="161">
        <f>-B221*Main!$B$18-2*Main!$B$18*loop_gain!$B$17*loop_gain!$B$18</f>
        <v>-187.74857142857155</v>
      </c>
      <c r="F221" s="161">
        <f>2*Main!$B$18*loop_gain!$B$17*loop_gain!$B$18*Helper_calcs!$B$14*Current_limit!B221</f>
        <v>1158.3000000000065</v>
      </c>
      <c r="G221" s="161">
        <f t="shared" si="27"/>
        <v>6.5813966848019145</v>
      </c>
      <c r="H221" s="161">
        <f>(Main!$B$18-Current_limit!G221)*Current_limit!G221/(Main!$B$18*loop_gain!$B$17*loop_gain!$B$18)</f>
        <v>0.42883571302190165</v>
      </c>
      <c r="I221" s="161">
        <f t="shared" si="28"/>
        <v>3.4711642869781003</v>
      </c>
      <c r="J221" s="161"/>
      <c r="K221" s="163">
        <f>IF(A221&gt;$B$15,IF(I221&gt;Helper_calcs!$B$15,23,3),0)</f>
        <v>0</v>
      </c>
      <c r="L221" s="162">
        <f t="shared" si="26"/>
        <v>0</v>
      </c>
      <c r="M221" s="162">
        <f t="shared" si="29"/>
        <v>0</v>
      </c>
      <c r="N221" s="161">
        <f t="shared" si="30"/>
        <v>2.7999999999999838</v>
      </c>
      <c r="O221" s="161">
        <f t="shared" si="31"/>
        <v>5</v>
      </c>
      <c r="P221" s="149">
        <f>IF(OR(M221=0,M221=3),loop_gain!$B$18,IF(Current_limit!M221=1,Current_limit!$B$12/(2*(Current_limit!N221-Helper_calcs!$B$15)),IF(OR(M221=2,M221=23),(Main!$B$18-Current_limit!O221)*Current_limit!O221/(Main!$B$18*loop_gain!$B$17*(Helper_calcs!$B$14-Helper_calcs!$B$15)),x)))</f>
        <v>2100000</v>
      </c>
      <c r="Q221" s="161"/>
    </row>
    <row r="222" spans="1:17" x14ac:dyDescent="0.25">
      <c r="A222">
        <f t="shared" si="24"/>
        <v>2.8099999999999836</v>
      </c>
      <c r="B222">
        <f>Main!$B$19/A222</f>
        <v>1.7793594306049927</v>
      </c>
      <c r="D222" s="161">
        <f t="shared" si="25"/>
        <v>1.7793594306049927</v>
      </c>
      <c r="E222" s="161">
        <f>-B222*Main!$B$18-2*Main!$B$18*loop_gain!$B$17*loop_gain!$B$18</f>
        <v>-187.67231316725992</v>
      </c>
      <c r="F222" s="161">
        <f>2*Main!$B$18*loop_gain!$B$17*loop_gain!$B$18*Helper_calcs!$B$14*Current_limit!B222</f>
        <v>1154.177935943067</v>
      </c>
      <c r="G222" s="161">
        <f t="shared" si="27"/>
        <v>6.5576864018382341</v>
      </c>
      <c r="H222" s="161">
        <f>(Main!$B$18-Current_limit!G222)*Current_limit!G222/(Main!$B$18*loop_gain!$B$17*loop_gain!$B$18)</f>
        <v>0.42916048433387111</v>
      </c>
      <c r="I222" s="161">
        <f t="shared" si="28"/>
        <v>3.4708395156661305</v>
      </c>
      <c r="J222" s="161"/>
      <c r="K222" s="163">
        <f>IF(A222&gt;$B$15,IF(I222&gt;Helper_calcs!$B$15,23,3),0)</f>
        <v>0</v>
      </c>
      <c r="L222" s="162">
        <f t="shared" si="26"/>
        <v>0</v>
      </c>
      <c r="M222" s="162">
        <f t="shared" si="29"/>
        <v>0</v>
      </c>
      <c r="N222" s="161">
        <f t="shared" si="30"/>
        <v>2.8099999999999836</v>
      </c>
      <c r="O222" s="161">
        <f t="shared" si="31"/>
        <v>5</v>
      </c>
      <c r="P222" s="149">
        <f>IF(OR(M222=0,M222=3),loop_gain!$B$18,IF(Current_limit!M222=1,Current_limit!$B$12/(2*(Current_limit!N222-Helper_calcs!$B$15)),IF(OR(M222=2,M222=23),(Main!$B$18-Current_limit!O222)*Current_limit!O222/(Main!$B$18*loop_gain!$B$17*(Helper_calcs!$B$14-Helper_calcs!$B$15)),x)))</f>
        <v>2100000</v>
      </c>
      <c r="Q222" s="161"/>
    </row>
    <row r="223" spans="1:17" x14ac:dyDescent="0.25">
      <c r="A223">
        <f t="shared" si="24"/>
        <v>2.8199999999999834</v>
      </c>
      <c r="B223">
        <f>Main!$B$19/A223</f>
        <v>1.7730496453900813</v>
      </c>
      <c r="D223" s="161">
        <f t="shared" si="25"/>
        <v>1.7730496453900813</v>
      </c>
      <c r="E223" s="161">
        <f>-B223*Main!$B$18-2*Main!$B$18*loop_gain!$B$17*loop_gain!$B$18</f>
        <v>-187.59659574468097</v>
      </c>
      <c r="F223" s="161">
        <f>2*Main!$B$18*loop_gain!$B$17*loop_gain!$B$18*Helper_calcs!$B$14*Current_limit!B223</f>
        <v>1150.0851063829853</v>
      </c>
      <c r="G223" s="161">
        <f t="shared" si="27"/>
        <v>6.5341583379601476</v>
      </c>
      <c r="H223" s="161">
        <f>(Main!$B$18-Current_limit!G223)*Current_limit!G223/(Main!$B$18*loop_gain!$B$17*loop_gain!$B$18)</f>
        <v>0.42946939478099633</v>
      </c>
      <c r="I223" s="161">
        <f t="shared" si="28"/>
        <v>3.4705306052190035</v>
      </c>
      <c r="J223" s="161"/>
      <c r="K223" s="163">
        <f>IF(A223&gt;$B$15,IF(I223&gt;Helper_calcs!$B$15,23,3),0)</f>
        <v>0</v>
      </c>
      <c r="L223" s="162">
        <f t="shared" si="26"/>
        <v>0</v>
      </c>
      <c r="M223" s="162">
        <f t="shared" si="29"/>
        <v>0</v>
      </c>
      <c r="N223" s="161">
        <f t="shared" si="30"/>
        <v>2.8199999999999834</v>
      </c>
      <c r="O223" s="161">
        <f t="shared" si="31"/>
        <v>5</v>
      </c>
      <c r="P223" s="149">
        <f>IF(OR(M223=0,M223=3),loop_gain!$B$18,IF(Current_limit!M223=1,Current_limit!$B$12/(2*(Current_limit!N223-Helper_calcs!$B$15)),IF(OR(M223=2,M223=23),(Main!$B$18-Current_limit!O223)*Current_limit!O223/(Main!$B$18*loop_gain!$B$17*(Helper_calcs!$B$14-Helper_calcs!$B$15)),x)))</f>
        <v>2100000</v>
      </c>
      <c r="Q223" s="161"/>
    </row>
    <row r="224" spans="1:17" x14ac:dyDescent="0.25">
      <c r="A224">
        <f t="shared" si="24"/>
        <v>2.8299999999999832</v>
      </c>
      <c r="B224">
        <f>Main!$B$19/A224</f>
        <v>1.7667844522968303</v>
      </c>
      <c r="D224" s="161">
        <f t="shared" si="25"/>
        <v>1.7667844522968303</v>
      </c>
      <c r="E224" s="161">
        <f>-B224*Main!$B$18-2*Main!$B$18*loop_gain!$B$17*loop_gain!$B$18</f>
        <v>-187.52141342756195</v>
      </c>
      <c r="F224" s="161">
        <f>2*Main!$B$18*loop_gain!$B$17*loop_gain!$B$18*Helper_calcs!$B$14*Current_limit!B224</f>
        <v>1146.0212014134343</v>
      </c>
      <c r="G224" s="161">
        <f t="shared" si="27"/>
        <v>6.5108102640688585</v>
      </c>
      <c r="H224" s="161">
        <f>(Main!$B$18-Current_limit!G224)*Current_limit!G224/(Main!$B$18*loop_gain!$B$17*loop_gain!$B$18)</f>
        <v>0.42976278107409699</v>
      </c>
      <c r="I224" s="161">
        <f t="shared" si="28"/>
        <v>3.4702372189259032</v>
      </c>
      <c r="J224" s="161"/>
      <c r="K224" s="163">
        <f>IF(A224&gt;$B$15,IF(I224&gt;Helper_calcs!$B$15,23,3),0)</f>
        <v>0</v>
      </c>
      <c r="L224" s="162">
        <f t="shared" si="26"/>
        <v>0</v>
      </c>
      <c r="M224" s="162">
        <f t="shared" si="29"/>
        <v>0</v>
      </c>
      <c r="N224" s="161">
        <f t="shared" si="30"/>
        <v>2.8299999999999832</v>
      </c>
      <c r="O224" s="161">
        <f t="shared" si="31"/>
        <v>5</v>
      </c>
      <c r="P224" s="149">
        <f>IF(OR(M224=0,M224=3),loop_gain!$B$18,IF(Current_limit!M224=1,Current_limit!$B$12/(2*(Current_limit!N224-Helper_calcs!$B$15)),IF(OR(M224=2,M224=23),(Main!$B$18-Current_limit!O224)*Current_limit!O224/(Main!$B$18*loop_gain!$B$17*(Helper_calcs!$B$14-Helper_calcs!$B$15)),x)))</f>
        <v>2100000</v>
      </c>
      <c r="Q224" s="161"/>
    </row>
    <row r="225" spans="1:17" x14ac:dyDescent="0.25">
      <c r="A225">
        <f t="shared" ref="A225:A288" si="32">A224+0.01</f>
        <v>2.839999999999983</v>
      </c>
      <c r="B225">
        <f>Main!$B$19/A225</f>
        <v>1.7605633802817007</v>
      </c>
      <c r="D225" s="161">
        <f t="shared" si="25"/>
        <v>1.7605633802817007</v>
      </c>
      <c r="E225" s="161">
        <f>-B225*Main!$B$18-2*Main!$B$18*loop_gain!$B$17*loop_gain!$B$18</f>
        <v>-187.44676056338039</v>
      </c>
      <c r="F225" s="161">
        <f>2*Main!$B$18*loop_gain!$B$17*loop_gain!$B$18*Helper_calcs!$B$14*Current_limit!B225</f>
        <v>1141.9859154929645</v>
      </c>
      <c r="G225" s="161">
        <f t="shared" si="27"/>
        <v>6.4876399893384447</v>
      </c>
      <c r="H225" s="161">
        <f>(Main!$B$18-Current_limit!G225)*Current_limit!G225/(Main!$B$18*loop_gain!$B$17*loop_gain!$B$18)</f>
        <v>0.43004097211156805</v>
      </c>
      <c r="I225" s="161">
        <f t="shared" si="28"/>
        <v>3.4699590278884305</v>
      </c>
      <c r="J225" s="161"/>
      <c r="K225" s="163">
        <f>IF(A225&gt;$B$15,IF(I225&gt;Helper_calcs!$B$15,23,3),0)</f>
        <v>0</v>
      </c>
      <c r="L225" s="162">
        <f t="shared" si="26"/>
        <v>0</v>
      </c>
      <c r="M225" s="162">
        <f t="shared" si="29"/>
        <v>0</v>
      </c>
      <c r="N225" s="161">
        <f t="shared" si="30"/>
        <v>2.839999999999983</v>
      </c>
      <c r="O225" s="161">
        <f t="shared" si="31"/>
        <v>5</v>
      </c>
      <c r="P225" s="149">
        <f>IF(OR(M225=0,M225=3),loop_gain!$B$18,IF(Current_limit!M225=1,Current_limit!$B$12/(2*(Current_limit!N225-Helper_calcs!$B$15)),IF(OR(M225=2,M225=23),(Main!$B$18-Current_limit!O225)*Current_limit!O225/(Main!$B$18*loop_gain!$B$17*(Helper_calcs!$B$14-Helper_calcs!$B$15)),x)))</f>
        <v>2100000</v>
      </c>
      <c r="Q225" s="161"/>
    </row>
    <row r="226" spans="1:17" x14ac:dyDescent="0.25">
      <c r="A226">
        <f t="shared" si="32"/>
        <v>2.8499999999999828</v>
      </c>
      <c r="B226">
        <f>Main!$B$19/A226</f>
        <v>1.7543859649122913</v>
      </c>
      <c r="D226" s="161">
        <f t="shared" si="25"/>
        <v>1.7543859649122913</v>
      </c>
      <c r="E226" s="161">
        <f>-B226*Main!$B$18-2*Main!$B$18*loop_gain!$B$17*loop_gain!$B$18</f>
        <v>-187.37263157894748</v>
      </c>
      <c r="F226" s="161">
        <f>2*Main!$B$18*loop_gain!$B$17*loop_gain!$B$18*Helper_calcs!$B$14*Current_limit!B226</f>
        <v>1137.9789473684277</v>
      </c>
      <c r="G226" s="161">
        <f t="shared" si="27"/>
        <v>6.4646453603590981</v>
      </c>
      <c r="H226" s="161">
        <f>(Main!$B$18-Current_limit!G226)*Current_limit!G226/(Main!$B$18*loop_gain!$B$17*loop_gain!$B$18)</f>
        <v>0.43030428919067781</v>
      </c>
      <c r="I226" s="161">
        <f t="shared" si="28"/>
        <v>3.4696957108093245</v>
      </c>
      <c r="J226" s="161"/>
      <c r="K226" s="163">
        <f>IF(A226&gt;$B$15,IF(I226&gt;Helper_calcs!$B$15,23,3),0)</f>
        <v>0</v>
      </c>
      <c r="L226" s="162">
        <f t="shared" si="26"/>
        <v>0</v>
      </c>
      <c r="M226" s="162">
        <f t="shared" si="29"/>
        <v>0</v>
      </c>
      <c r="N226" s="161">
        <f t="shared" si="30"/>
        <v>2.8499999999999828</v>
      </c>
      <c r="O226" s="161">
        <f t="shared" si="31"/>
        <v>5</v>
      </c>
      <c r="P226" s="149">
        <f>IF(OR(M226=0,M226=3),loop_gain!$B$18,IF(Current_limit!M226=1,Current_limit!$B$12/(2*(Current_limit!N226-Helper_calcs!$B$15)),IF(OR(M226=2,M226=23),(Main!$B$18-Current_limit!O226)*Current_limit!O226/(Main!$B$18*loop_gain!$B$17*(Helper_calcs!$B$14-Helper_calcs!$B$15)),x)))</f>
        <v>2100000</v>
      </c>
      <c r="Q226" s="161"/>
    </row>
    <row r="227" spans="1:17" x14ac:dyDescent="0.25">
      <c r="A227">
        <f t="shared" si="32"/>
        <v>2.8599999999999826</v>
      </c>
      <c r="B227">
        <f>Main!$B$19/A227</f>
        <v>1.748251748251759</v>
      </c>
      <c r="D227" s="161">
        <f t="shared" si="25"/>
        <v>1.748251748251759</v>
      </c>
      <c r="E227" s="161">
        <f>-B227*Main!$B$18-2*Main!$B$18*loop_gain!$B$17*loop_gain!$B$18</f>
        <v>-187.29902097902109</v>
      </c>
      <c r="F227" s="161">
        <f>2*Main!$B$18*loop_gain!$B$17*loop_gain!$B$18*Helper_calcs!$B$14*Current_limit!B227</f>
        <v>1134.0000000000068</v>
      </c>
      <c r="G227" s="161">
        <f t="shared" si="27"/>
        <v>6.4418242603040552</v>
      </c>
      <c r="H227" s="161">
        <f>(Main!$B$18-Current_limit!G227)*Current_limit!G227/(Main!$B$18*loop_gain!$B$17*loop_gain!$B$18)</f>
        <v>0.43055304621220269</v>
      </c>
      <c r="I227" s="161">
        <f t="shared" si="28"/>
        <v>3.4694469537877954</v>
      </c>
      <c r="J227" s="161"/>
      <c r="K227" s="163">
        <f>IF(A227&gt;$B$15,IF(I227&gt;Helper_calcs!$B$15,23,3),0)</f>
        <v>0</v>
      </c>
      <c r="L227" s="162">
        <f t="shared" si="26"/>
        <v>0</v>
      </c>
      <c r="M227" s="162">
        <f t="shared" si="29"/>
        <v>0</v>
      </c>
      <c r="N227" s="161">
        <f t="shared" si="30"/>
        <v>2.8599999999999826</v>
      </c>
      <c r="O227" s="161">
        <f t="shared" si="31"/>
        <v>5</v>
      </c>
      <c r="P227" s="149">
        <f>IF(OR(M227=0,M227=3),loop_gain!$B$18,IF(Current_limit!M227=1,Current_limit!$B$12/(2*(Current_limit!N227-Helper_calcs!$B$15)),IF(OR(M227=2,M227=23),(Main!$B$18-Current_limit!O227)*Current_limit!O227/(Main!$B$18*loop_gain!$B$17*(Helper_calcs!$B$14-Helper_calcs!$B$15)),x)))</f>
        <v>2100000</v>
      </c>
      <c r="Q227" s="161"/>
    </row>
    <row r="228" spans="1:17" x14ac:dyDescent="0.25">
      <c r="A228">
        <f t="shared" si="32"/>
        <v>2.8699999999999823</v>
      </c>
      <c r="B228">
        <f>Main!$B$19/A228</f>
        <v>1.7421602787456554</v>
      </c>
      <c r="D228" s="161">
        <f t="shared" si="25"/>
        <v>1.7421602787456554</v>
      </c>
      <c r="E228" s="161">
        <f>-B228*Main!$B$18-2*Main!$B$18*loop_gain!$B$17*loop_gain!$B$18</f>
        <v>-187.22592334494786</v>
      </c>
      <c r="F228" s="161">
        <f>2*Main!$B$18*loop_gain!$B$17*loop_gain!$B$18*Helper_calcs!$B$14*Current_limit!B228</f>
        <v>1130.0487804878117</v>
      </c>
      <c r="G228" s="161">
        <f t="shared" si="27"/>
        <v>6.4191746081196941</v>
      </c>
      <c r="H228" s="161">
        <f>(Main!$B$18-Current_limit!G228)*Current_limit!G228/(Main!$B$18*loop_gain!$B$17*loop_gain!$B$18)</f>
        <v>0.43078754987864004</v>
      </c>
      <c r="I228" s="161">
        <f t="shared" si="28"/>
        <v>3.4692124501213617</v>
      </c>
      <c r="J228" s="161"/>
      <c r="K228" s="163">
        <f>IF(A228&gt;$B$15,IF(I228&gt;Helper_calcs!$B$15,23,3),0)</f>
        <v>0</v>
      </c>
      <c r="L228" s="162">
        <f t="shared" si="26"/>
        <v>0</v>
      </c>
      <c r="M228" s="162">
        <f t="shared" si="29"/>
        <v>0</v>
      </c>
      <c r="N228" s="161">
        <f t="shared" si="30"/>
        <v>2.8699999999999823</v>
      </c>
      <c r="O228" s="161">
        <f t="shared" si="31"/>
        <v>5</v>
      </c>
      <c r="P228" s="149">
        <f>IF(OR(M228=0,M228=3),loop_gain!$B$18,IF(Current_limit!M228=1,Current_limit!$B$12/(2*(Current_limit!N228-Helper_calcs!$B$15)),IF(OR(M228=2,M228=23),(Main!$B$18-Current_limit!O228)*Current_limit!O228/(Main!$B$18*loop_gain!$B$17*(Helper_calcs!$B$14-Helper_calcs!$B$15)),x)))</f>
        <v>2100000</v>
      </c>
      <c r="Q228" s="161"/>
    </row>
    <row r="229" spans="1:17" x14ac:dyDescent="0.25">
      <c r="A229">
        <f t="shared" si="32"/>
        <v>2.8799999999999821</v>
      </c>
      <c r="B229">
        <f>Main!$B$19/A229</f>
        <v>1.7361111111111218</v>
      </c>
      <c r="D229" s="161">
        <f t="shared" si="25"/>
        <v>1.7361111111111218</v>
      </c>
      <c r="E229" s="161">
        <f>-B229*Main!$B$18-2*Main!$B$18*loop_gain!$B$17*loop_gain!$B$18</f>
        <v>-187.15333333333345</v>
      </c>
      <c r="F229" s="161">
        <f>2*Main!$B$18*loop_gain!$B$17*loop_gain!$B$18*Helper_calcs!$B$14*Current_limit!B229</f>
        <v>1126.1250000000068</v>
      </c>
      <c r="G229" s="161">
        <f t="shared" si="27"/>
        <v>6.3966943577376885</v>
      </c>
      <c r="H229" s="161">
        <f>(Main!$B$18-Current_limit!G229)*Current_limit!G229/(Main!$B$18*loop_gain!$B$17*loop_gain!$B$18)</f>
        <v>0.43100809988623234</v>
      </c>
      <c r="I229" s="161">
        <f t="shared" si="28"/>
        <v>3.4689919001137697</v>
      </c>
      <c r="J229" s="161"/>
      <c r="K229" s="163">
        <f>IF(A229&gt;$B$15,IF(I229&gt;Helper_calcs!$B$15,23,3),0)</f>
        <v>0</v>
      </c>
      <c r="L229" s="162">
        <f t="shared" si="26"/>
        <v>0</v>
      </c>
      <c r="M229" s="162">
        <f t="shared" si="29"/>
        <v>0</v>
      </c>
      <c r="N229" s="161">
        <f t="shared" si="30"/>
        <v>2.8799999999999821</v>
      </c>
      <c r="O229" s="161">
        <f t="shared" si="31"/>
        <v>5</v>
      </c>
      <c r="P229" s="149">
        <f>IF(OR(M229=0,M229=3),loop_gain!$B$18,IF(Current_limit!M229=1,Current_limit!$B$12/(2*(Current_limit!N229-Helper_calcs!$B$15)),IF(OR(M229=2,M229=23),(Main!$B$18-Current_limit!O229)*Current_limit!O229/(Main!$B$18*loop_gain!$B$17*(Helper_calcs!$B$14-Helper_calcs!$B$15)),x)))</f>
        <v>2100000</v>
      </c>
      <c r="Q229" s="161"/>
    </row>
    <row r="230" spans="1:17" x14ac:dyDescent="0.25">
      <c r="A230">
        <f t="shared" si="32"/>
        <v>2.8899999999999819</v>
      </c>
      <c r="B230">
        <f>Main!$B$19/A230</f>
        <v>1.7301038062283844</v>
      </c>
      <c r="D230" s="161">
        <f t="shared" si="25"/>
        <v>1.7301038062283844</v>
      </c>
      <c r="E230" s="161">
        <f>-B230*Main!$B$18-2*Main!$B$18*loop_gain!$B$17*loop_gain!$B$18</f>
        <v>-187.08124567474061</v>
      </c>
      <c r="F230" s="161">
        <f>2*Main!$B$18*loop_gain!$B$17*loop_gain!$B$18*Helper_calcs!$B$14*Current_limit!B230</f>
        <v>1122.2283737024291</v>
      </c>
      <c r="G230" s="161">
        <f t="shared" si="27"/>
        <v>6.3743814973088444</v>
      </c>
      <c r="H230" s="161">
        <f>(Main!$B$18-Current_limit!G230)*Current_limit!G230/(Main!$B$18*loop_gain!$B$17*loop_gain!$B$18)</f>
        <v>0.4312149891110244</v>
      </c>
      <c r="I230" s="161">
        <f t="shared" si="28"/>
        <v>3.4687850108889773</v>
      </c>
      <c r="J230" s="161"/>
      <c r="K230" s="163">
        <f>IF(A230&gt;$B$15,IF(I230&gt;Helper_calcs!$B$15,23,3),0)</f>
        <v>0</v>
      </c>
      <c r="L230" s="162">
        <f t="shared" si="26"/>
        <v>0</v>
      </c>
      <c r="M230" s="162">
        <f t="shared" si="29"/>
        <v>0</v>
      </c>
      <c r="N230" s="161">
        <f t="shared" si="30"/>
        <v>2.8899999999999819</v>
      </c>
      <c r="O230" s="161">
        <f t="shared" si="31"/>
        <v>5</v>
      </c>
      <c r="P230" s="149">
        <f>IF(OR(M230=0,M230=3),loop_gain!$B$18,IF(Current_limit!M230=1,Current_limit!$B$12/(2*(Current_limit!N230-Helper_calcs!$B$15)),IF(OR(M230=2,M230=23),(Main!$B$18-Current_limit!O230)*Current_limit!O230/(Main!$B$18*loop_gain!$B$17*(Helper_calcs!$B$14-Helper_calcs!$B$15)),x)))</f>
        <v>2100000</v>
      </c>
      <c r="Q230" s="161"/>
    </row>
    <row r="231" spans="1:17" x14ac:dyDescent="0.25">
      <c r="A231">
        <f t="shared" si="32"/>
        <v>2.8999999999999817</v>
      </c>
      <c r="B231">
        <f>Main!$B$19/A231</f>
        <v>1.7241379310344935</v>
      </c>
      <c r="D231" s="161">
        <f t="shared" si="25"/>
        <v>1.7241379310344935</v>
      </c>
      <c r="E231" s="161">
        <f>-B231*Main!$B$18-2*Main!$B$18*loop_gain!$B$17*loop_gain!$B$18</f>
        <v>-187.00965517241391</v>
      </c>
      <c r="F231" s="161">
        <f>2*Main!$B$18*loop_gain!$B$17*loop_gain!$B$18*Helper_calcs!$B$14*Current_limit!B231</f>
        <v>1118.3586206896621</v>
      </c>
      <c r="G231" s="161">
        <f t="shared" si="27"/>
        <v>6.3522340484576549</v>
      </c>
      <c r="H231" s="161">
        <f>(Main!$B$18-Current_limit!G231)*Current_limit!G231/(Main!$B$18*loop_gain!$B$17*loop_gain!$B$18)</f>
        <v>0.43140850378916706</v>
      </c>
      <c r="I231" s="161">
        <f t="shared" si="28"/>
        <v>3.4685914962108333</v>
      </c>
      <c r="J231" s="161"/>
      <c r="K231" s="163">
        <f>IF(A231&gt;$B$15,IF(I231&gt;Helper_calcs!$B$15,23,3),0)</f>
        <v>0</v>
      </c>
      <c r="L231" s="162">
        <f t="shared" si="26"/>
        <v>0</v>
      </c>
      <c r="M231" s="162">
        <f t="shared" si="29"/>
        <v>0</v>
      </c>
      <c r="N231" s="161">
        <f t="shared" si="30"/>
        <v>2.8999999999999817</v>
      </c>
      <c r="O231" s="161">
        <f t="shared" si="31"/>
        <v>5</v>
      </c>
      <c r="P231" s="149">
        <f>IF(OR(M231=0,M231=3),loop_gain!$B$18,IF(Current_limit!M231=1,Current_limit!$B$12/(2*(Current_limit!N231-Helper_calcs!$B$15)),IF(OR(M231=2,M231=23),(Main!$B$18-Current_limit!O231)*Current_limit!O231/(Main!$B$18*loop_gain!$B$17*(Helper_calcs!$B$14-Helper_calcs!$B$15)),x)))</f>
        <v>2100000</v>
      </c>
      <c r="Q231" s="161"/>
    </row>
    <row r="232" spans="1:17" x14ac:dyDescent="0.25">
      <c r="A232">
        <f t="shared" si="32"/>
        <v>2.9099999999999815</v>
      </c>
      <c r="B232">
        <f>Main!$B$19/A232</f>
        <v>1.718213058419255</v>
      </c>
      <c r="D232" s="161">
        <f t="shared" si="25"/>
        <v>1.718213058419255</v>
      </c>
      <c r="E232" s="161">
        <f>-B232*Main!$B$18-2*Main!$B$18*loop_gain!$B$17*loop_gain!$B$18</f>
        <v>-186.93855670103105</v>
      </c>
      <c r="F232" s="161">
        <f>2*Main!$B$18*loop_gain!$B$17*loop_gain!$B$18*Helper_calcs!$B$14*Current_limit!B232</f>
        <v>1114.5154639175328</v>
      </c>
      <c r="G232" s="161">
        <f t="shared" si="27"/>
        <v>6.3302500655570269</v>
      </c>
      <c r="H232" s="161">
        <f>(Main!$B$18-Current_limit!G232)*Current_limit!G232/(Main!$B$18*loop_gain!$B$17*loop_gain!$B$18)</f>
        <v>0.43158892369167368</v>
      </c>
      <c r="I232" s="161">
        <f t="shared" si="28"/>
        <v>3.4684110763083291</v>
      </c>
      <c r="J232" s="161"/>
      <c r="K232" s="163">
        <f>IF(A232&gt;$B$15,IF(I232&gt;Helper_calcs!$B$15,23,3),0)</f>
        <v>0</v>
      </c>
      <c r="L232" s="162">
        <f t="shared" si="26"/>
        <v>0</v>
      </c>
      <c r="M232" s="162">
        <f t="shared" si="29"/>
        <v>0</v>
      </c>
      <c r="N232" s="161">
        <f t="shared" si="30"/>
        <v>2.9099999999999815</v>
      </c>
      <c r="O232" s="161">
        <f t="shared" si="31"/>
        <v>5</v>
      </c>
      <c r="P232" s="149">
        <f>IF(OR(M232=0,M232=3),loop_gain!$B$18,IF(Current_limit!M232=1,Current_limit!$B$12/(2*(Current_limit!N232-Helper_calcs!$B$15)),IF(OR(M232=2,M232=23),(Main!$B$18-Current_limit!O232)*Current_limit!O232/(Main!$B$18*loop_gain!$B$17*(Helper_calcs!$B$14-Helper_calcs!$B$15)),x)))</f>
        <v>2100000</v>
      </c>
      <c r="Q232" s="161"/>
    </row>
    <row r="233" spans="1:17" x14ac:dyDescent="0.25">
      <c r="A233">
        <f t="shared" si="32"/>
        <v>2.9199999999999813</v>
      </c>
      <c r="B233">
        <f>Main!$B$19/A233</f>
        <v>1.7123287671232987</v>
      </c>
      <c r="D233" s="161">
        <f t="shared" si="25"/>
        <v>1.7123287671232987</v>
      </c>
      <c r="E233" s="161">
        <f>-B233*Main!$B$18-2*Main!$B$18*loop_gain!$B$17*loop_gain!$B$18</f>
        <v>-186.86794520547957</v>
      </c>
      <c r="F233" s="161">
        <f>2*Main!$B$18*loop_gain!$B$17*loop_gain!$B$18*Helper_calcs!$B$14*Current_limit!B233</f>
        <v>1110.6986301369934</v>
      </c>
      <c r="G233" s="161">
        <f t="shared" si="27"/>
        <v>6.3084276350224489</v>
      </c>
      <c r="H233" s="161">
        <f>(Main!$B$18-Current_limit!G233)*Current_limit!G233/(Main!$B$18*loop_gain!$B$17*loop_gain!$B$18)</f>
        <v>0.43175652229382466</v>
      </c>
      <c r="I233" s="161">
        <f t="shared" si="28"/>
        <v>3.4682434777061744</v>
      </c>
      <c r="J233" s="161"/>
      <c r="K233" s="163">
        <f>IF(A233&gt;$B$15,IF(I233&gt;Helper_calcs!$B$15,23,3),0)</f>
        <v>0</v>
      </c>
      <c r="L233" s="162">
        <f t="shared" si="26"/>
        <v>0</v>
      </c>
      <c r="M233" s="162">
        <f t="shared" si="29"/>
        <v>0</v>
      </c>
      <c r="N233" s="161">
        <f t="shared" si="30"/>
        <v>2.9199999999999813</v>
      </c>
      <c r="O233" s="161">
        <f t="shared" si="31"/>
        <v>5</v>
      </c>
      <c r="P233" s="149">
        <f>IF(OR(M233=0,M233=3),loop_gain!$B$18,IF(Current_limit!M233=1,Current_limit!$B$12/(2*(Current_limit!N233-Helper_calcs!$B$15)),IF(OR(M233=2,M233=23),(Main!$B$18-Current_limit!O233)*Current_limit!O233/(Main!$B$18*loop_gain!$B$17*(Helper_calcs!$B$14-Helper_calcs!$B$15)),x)))</f>
        <v>2100000</v>
      </c>
      <c r="Q233" s="161"/>
    </row>
    <row r="234" spans="1:17" x14ac:dyDescent="0.25">
      <c r="A234">
        <f t="shared" si="32"/>
        <v>2.9299999999999811</v>
      </c>
      <c r="B234">
        <f>Main!$B$19/A234</f>
        <v>1.7064846416382362</v>
      </c>
      <c r="D234" s="161">
        <f t="shared" si="25"/>
        <v>1.7064846416382362</v>
      </c>
      <c r="E234" s="161">
        <f>-B234*Main!$B$18-2*Main!$B$18*loop_gain!$B$17*loop_gain!$B$18</f>
        <v>-186.79781569965883</v>
      </c>
      <c r="F234" s="161">
        <f>2*Main!$B$18*loop_gain!$B$17*loop_gain!$B$18*Helper_calcs!$B$14*Current_limit!B234</f>
        <v>1106.9078498293584</v>
      </c>
      <c r="G234" s="161">
        <f t="shared" si="27"/>
        <v>6.2867648746251144</v>
      </c>
      <c r="H234" s="161">
        <f>(Main!$B$18-Current_limit!G234)*Current_limit!G234/(Main!$B$18*loop_gain!$B$17*loop_gain!$B$18)</f>
        <v>0.43191156693940885</v>
      </c>
      <c r="I234" s="161">
        <f t="shared" si="28"/>
        <v>3.468088433060589</v>
      </c>
      <c r="J234" s="161"/>
      <c r="K234" s="163">
        <f>IF(A234&gt;$B$15,IF(I234&gt;Helper_calcs!$B$15,23,3),0)</f>
        <v>0</v>
      </c>
      <c r="L234" s="162">
        <f t="shared" si="26"/>
        <v>0</v>
      </c>
      <c r="M234" s="162">
        <f t="shared" si="29"/>
        <v>0</v>
      </c>
      <c r="N234" s="161">
        <f t="shared" si="30"/>
        <v>2.9299999999999811</v>
      </c>
      <c r="O234" s="161">
        <f t="shared" si="31"/>
        <v>5</v>
      </c>
      <c r="P234" s="149">
        <f>IF(OR(M234=0,M234=3),loop_gain!$B$18,IF(Current_limit!M234=1,Current_limit!$B$12/(2*(Current_limit!N234-Helper_calcs!$B$15)),IF(OR(M234=2,M234=23),(Main!$B$18-Current_limit!O234)*Current_limit!O234/(Main!$B$18*loop_gain!$B$17*(Helper_calcs!$B$14-Helper_calcs!$B$15)),x)))</f>
        <v>2100000</v>
      </c>
      <c r="Q234" s="161"/>
    </row>
    <row r="235" spans="1:17" x14ac:dyDescent="0.25">
      <c r="A235">
        <f t="shared" si="32"/>
        <v>2.9399999999999809</v>
      </c>
      <c r="B235">
        <f>Main!$B$19/A235</f>
        <v>1.7006802721088545</v>
      </c>
      <c r="D235" s="161">
        <f t="shared" si="25"/>
        <v>1.7006802721088545</v>
      </c>
      <c r="E235" s="161">
        <f>-B235*Main!$B$18-2*Main!$B$18*loop_gain!$B$17*loop_gain!$B$18</f>
        <v>-186.72816326530625</v>
      </c>
      <c r="F235" s="161">
        <f>2*Main!$B$18*loop_gain!$B$17*loop_gain!$B$18*Helper_calcs!$B$14*Current_limit!B235</f>
        <v>1103.1428571428642</v>
      </c>
      <c r="G235" s="161">
        <f t="shared" si="27"/>
        <v>6.2652599328231791</v>
      </c>
      <c r="H235" s="161">
        <f>(Main!$B$18-Current_limit!G235)*Current_limit!G235/(Main!$B$18*loop_gain!$B$17*loop_gain!$B$18)</f>
        <v>0.43205431899998376</v>
      </c>
      <c r="I235" s="161">
        <f t="shared" si="28"/>
        <v>3.4679456810000135</v>
      </c>
      <c r="J235" s="161"/>
      <c r="K235" s="163">
        <f>IF(A235&gt;$B$15,IF(I235&gt;Helper_calcs!$B$15,23,3),0)</f>
        <v>0</v>
      </c>
      <c r="L235" s="162">
        <f t="shared" si="26"/>
        <v>0</v>
      </c>
      <c r="M235" s="162">
        <f t="shared" si="29"/>
        <v>0</v>
      </c>
      <c r="N235" s="161">
        <f t="shared" si="30"/>
        <v>2.9399999999999809</v>
      </c>
      <c r="O235" s="161">
        <f t="shared" si="31"/>
        <v>5</v>
      </c>
      <c r="P235" s="149">
        <f>IF(OR(M235=0,M235=3),loop_gain!$B$18,IF(Current_limit!M235=1,Current_limit!$B$12/(2*(Current_limit!N235-Helper_calcs!$B$15)),IF(OR(M235=2,M235=23),(Main!$B$18-Current_limit!O235)*Current_limit!O235/(Main!$B$18*loop_gain!$B$17*(Helper_calcs!$B$14-Helper_calcs!$B$15)),x)))</f>
        <v>2100000</v>
      </c>
      <c r="Q235" s="161"/>
    </row>
    <row r="236" spans="1:17" x14ac:dyDescent="0.25">
      <c r="A236">
        <f t="shared" si="32"/>
        <v>2.9499999999999806</v>
      </c>
      <c r="B236">
        <f>Main!$B$19/A236</f>
        <v>1.6949152542372992</v>
      </c>
      <c r="D236" s="161">
        <f t="shared" si="25"/>
        <v>1.6949152542372992</v>
      </c>
      <c r="E236" s="161">
        <f>-B236*Main!$B$18-2*Main!$B$18*loop_gain!$B$17*loop_gain!$B$18</f>
        <v>-186.65898305084758</v>
      </c>
      <c r="F236" s="161">
        <f>2*Main!$B$18*loop_gain!$B$17*loop_gain!$B$18*Helper_calcs!$B$14*Current_limit!B236</f>
        <v>1099.4033898305154</v>
      </c>
      <c r="G236" s="161">
        <f t="shared" si="27"/>
        <v>6.2439109881107786</v>
      </c>
      <c r="H236" s="161">
        <f>(Main!$B$18-Current_limit!G236)*Current_limit!G236/(Main!$B$18*loop_gain!$B$17*loop_gain!$B$18)</f>
        <v>0.43218503402932684</v>
      </c>
      <c r="I236" s="161">
        <f t="shared" si="28"/>
        <v>3.4678149659706721</v>
      </c>
      <c r="J236" s="161"/>
      <c r="K236" s="163">
        <f>IF(A236&gt;$B$15,IF(I236&gt;Helper_calcs!$B$15,23,3),0)</f>
        <v>0</v>
      </c>
      <c r="L236" s="162">
        <f t="shared" si="26"/>
        <v>0</v>
      </c>
      <c r="M236" s="162">
        <f t="shared" si="29"/>
        <v>0</v>
      </c>
      <c r="N236" s="161">
        <f t="shared" si="30"/>
        <v>2.9499999999999806</v>
      </c>
      <c r="O236" s="161">
        <f t="shared" si="31"/>
        <v>5</v>
      </c>
      <c r="P236" s="149">
        <f>IF(OR(M236=0,M236=3),loop_gain!$B$18,IF(Current_limit!M236=1,Current_limit!$B$12/(2*(Current_limit!N236-Helper_calcs!$B$15)),IF(OR(M236=2,M236=23),(Main!$B$18-Current_limit!O236)*Current_limit!O236/(Main!$B$18*loop_gain!$B$17*(Helper_calcs!$B$14-Helper_calcs!$B$15)),x)))</f>
        <v>2100000</v>
      </c>
      <c r="Q236" s="161"/>
    </row>
    <row r="237" spans="1:17" x14ac:dyDescent="0.25">
      <c r="A237">
        <f t="shared" si="32"/>
        <v>2.9599999999999804</v>
      </c>
      <c r="B237">
        <f>Main!$B$19/A237</f>
        <v>1.6891891891892004</v>
      </c>
      <c r="D237" s="161">
        <f t="shared" si="25"/>
        <v>1.6891891891892004</v>
      </c>
      <c r="E237" s="161">
        <f>-B237*Main!$B$18-2*Main!$B$18*loop_gain!$B$17*loop_gain!$B$18</f>
        <v>-186.59027027027039</v>
      </c>
      <c r="F237" s="161">
        <f>2*Main!$B$18*loop_gain!$B$17*loop_gain!$B$18*Helper_calcs!$B$14*Current_limit!B237</f>
        <v>1095.6891891891962</v>
      </c>
      <c r="G237" s="161">
        <f t="shared" si="27"/>
        <v>6.222716248384117</v>
      </c>
      <c r="H237" s="161">
        <f>(Main!$B$18-Current_limit!G237)*Current_limit!G237/(Main!$B$18*loop_gain!$B$17*loop_gain!$B$18)</f>
        <v>0.43230396191324799</v>
      </c>
      <c r="I237" s="161">
        <f t="shared" si="28"/>
        <v>3.467696038086749</v>
      </c>
      <c r="J237" s="161"/>
      <c r="K237" s="163">
        <f>IF(A237&gt;$B$15,IF(I237&gt;Helper_calcs!$B$15,23,3),0)</f>
        <v>0</v>
      </c>
      <c r="L237" s="162">
        <f t="shared" si="26"/>
        <v>0</v>
      </c>
      <c r="M237" s="162">
        <f t="shared" si="29"/>
        <v>0</v>
      </c>
      <c r="N237" s="161">
        <f t="shared" si="30"/>
        <v>2.9599999999999804</v>
      </c>
      <c r="O237" s="161">
        <f t="shared" si="31"/>
        <v>5</v>
      </c>
      <c r="P237" s="149">
        <f>IF(OR(M237=0,M237=3),loop_gain!$B$18,IF(Current_limit!M237=1,Current_limit!$B$12/(2*(Current_limit!N237-Helper_calcs!$B$15)),IF(OR(M237=2,M237=23),(Main!$B$18-Current_limit!O237)*Current_limit!O237/(Main!$B$18*loop_gain!$B$17*(Helper_calcs!$B$14-Helper_calcs!$B$15)),x)))</f>
        <v>2100000</v>
      </c>
      <c r="Q237" s="161"/>
    </row>
    <row r="238" spans="1:17" x14ac:dyDescent="0.25">
      <c r="A238">
        <f t="shared" si="32"/>
        <v>2.9699999999999802</v>
      </c>
      <c r="B238">
        <f>Main!$B$19/A238</f>
        <v>1.6835016835016947</v>
      </c>
      <c r="D238" s="161">
        <f t="shared" si="25"/>
        <v>1.6835016835016947</v>
      </c>
      <c r="E238" s="161">
        <f>-B238*Main!$B$18-2*Main!$B$18*loop_gain!$B$17*loop_gain!$B$18</f>
        <v>-186.52202020202031</v>
      </c>
      <c r="F238" s="161">
        <f>2*Main!$B$18*loop_gain!$B$17*loop_gain!$B$18*Helper_calcs!$B$14*Current_limit!B238</f>
        <v>1092.000000000007</v>
      </c>
      <c r="G238" s="161">
        <f t="shared" si="27"/>
        <v>6.2016739503241878</v>
      </c>
      <c r="H238" s="161">
        <f>(Main!$B$18-Current_limit!G238)*Current_limit!G238/(Main!$B$18*loop_gain!$B$17*loop_gain!$B$18)</f>
        <v>0.43241134701491868</v>
      </c>
      <c r="I238" s="161">
        <f t="shared" si="28"/>
        <v>3.4675886529850839</v>
      </c>
      <c r="J238" s="161"/>
      <c r="K238" s="163">
        <f>IF(A238&gt;$B$15,IF(I238&gt;Helper_calcs!$B$15,23,3),0)</f>
        <v>0</v>
      </c>
      <c r="L238" s="162">
        <f t="shared" si="26"/>
        <v>0</v>
      </c>
      <c r="M238" s="162">
        <f t="shared" si="29"/>
        <v>0</v>
      </c>
      <c r="N238" s="161">
        <f t="shared" si="30"/>
        <v>2.9699999999999802</v>
      </c>
      <c r="O238" s="161">
        <f t="shared" si="31"/>
        <v>5</v>
      </c>
      <c r="P238" s="149">
        <f>IF(OR(M238=0,M238=3),loop_gain!$B$18,IF(Current_limit!M238=1,Current_limit!$B$12/(2*(Current_limit!N238-Helper_calcs!$B$15)),IF(OR(M238=2,M238=23),(Main!$B$18-Current_limit!O238)*Current_limit!O238/(Main!$B$18*loop_gain!$B$17*(Helper_calcs!$B$14-Helper_calcs!$B$15)),x)))</f>
        <v>2100000</v>
      </c>
      <c r="Q238" s="161"/>
    </row>
    <row r="239" spans="1:17" x14ac:dyDescent="0.25">
      <c r="A239">
        <f t="shared" si="32"/>
        <v>2.97999999999998</v>
      </c>
      <c r="B239">
        <f>Main!$B$19/A239</f>
        <v>1.6778523489932999</v>
      </c>
      <c r="D239" s="161">
        <f t="shared" si="25"/>
        <v>1.6778523489932999</v>
      </c>
      <c r="E239" s="161">
        <f>-B239*Main!$B$18-2*Main!$B$18*loop_gain!$B$17*loop_gain!$B$18</f>
        <v>-186.4542281879196</v>
      </c>
      <c r="F239" s="161">
        <f>2*Main!$B$18*loop_gain!$B$17*loop_gain!$B$18*Helper_calcs!$B$14*Current_limit!B239</f>
        <v>1088.3355704698058</v>
      </c>
      <c r="G239" s="161">
        <f t="shared" si="27"/>
        <v>6.1807823587954491</v>
      </c>
      <c r="H239" s="161">
        <f>(Main!$B$18-Current_limit!G239)*Current_limit!G239/(Main!$B$18*loop_gain!$B$17*loop_gain!$B$18)</f>
        <v>0.4325074283158773</v>
      </c>
      <c r="I239" s="161">
        <f t="shared" si="28"/>
        <v>3.4674925716841241</v>
      </c>
      <c r="J239" s="161"/>
      <c r="K239" s="163">
        <f>IF(A239&gt;$B$15,IF(I239&gt;Helper_calcs!$B$15,23,3),0)</f>
        <v>0</v>
      </c>
      <c r="L239" s="162">
        <f t="shared" si="26"/>
        <v>0</v>
      </c>
      <c r="M239" s="162">
        <f t="shared" si="29"/>
        <v>0</v>
      </c>
      <c r="N239" s="161">
        <f t="shared" si="30"/>
        <v>2.97999999999998</v>
      </c>
      <c r="O239" s="161">
        <f t="shared" si="31"/>
        <v>5</v>
      </c>
      <c r="P239" s="149">
        <f>IF(OR(M239=0,M239=3),loop_gain!$B$18,IF(Current_limit!M239=1,Current_limit!$B$12/(2*(Current_limit!N239-Helper_calcs!$B$15)),IF(OR(M239=2,M239=23),(Main!$B$18-Current_limit!O239)*Current_limit!O239/(Main!$B$18*loop_gain!$B$17*(Helper_calcs!$B$14-Helper_calcs!$B$15)),x)))</f>
        <v>2100000</v>
      </c>
      <c r="Q239" s="161"/>
    </row>
    <row r="240" spans="1:17" x14ac:dyDescent="0.25">
      <c r="A240">
        <f t="shared" si="32"/>
        <v>2.9899999999999798</v>
      </c>
      <c r="B240">
        <f>Main!$B$19/A240</f>
        <v>1.6722408026755966</v>
      </c>
      <c r="D240" s="161">
        <f t="shared" si="25"/>
        <v>1.6722408026755966</v>
      </c>
      <c r="E240" s="161">
        <f>-B240*Main!$B$18-2*Main!$B$18*loop_gain!$B$17*loop_gain!$B$18</f>
        <v>-186.38688963210714</v>
      </c>
      <c r="F240" s="161">
        <f>2*Main!$B$18*loop_gain!$B$17*loop_gain!$B$18*Helper_calcs!$B$14*Current_limit!B240</f>
        <v>1084.6956521739203</v>
      </c>
      <c r="G240" s="161">
        <f t="shared" si="27"/>
        <v>6.1600397662601978</v>
      </c>
      <c r="H240" s="161">
        <f>(Main!$B$18-Current_limit!G240)*Current_limit!G240/(Main!$B$18*loop_gain!$B$17*loop_gain!$B$18)</f>
        <v>0.43259243955285459</v>
      </c>
      <c r="I240" s="161">
        <f t="shared" si="28"/>
        <v>3.4674075604471462</v>
      </c>
      <c r="J240" s="161"/>
      <c r="K240" s="163">
        <f>IF(A240&gt;$B$15,IF(I240&gt;Helper_calcs!$B$15,23,3),0)</f>
        <v>0</v>
      </c>
      <c r="L240" s="162">
        <f t="shared" si="26"/>
        <v>0</v>
      </c>
      <c r="M240" s="162">
        <f t="shared" si="29"/>
        <v>0</v>
      </c>
      <c r="N240" s="161">
        <f t="shared" si="30"/>
        <v>2.9899999999999798</v>
      </c>
      <c r="O240" s="161">
        <f t="shared" si="31"/>
        <v>5</v>
      </c>
      <c r="P240" s="149">
        <f>IF(OR(M240=0,M240=3),loop_gain!$B$18,IF(Current_limit!M240=1,Current_limit!$B$12/(2*(Current_limit!N240-Helper_calcs!$B$15)),IF(OR(M240=2,M240=23),(Main!$B$18-Current_limit!O240)*Current_limit!O240/(Main!$B$18*loop_gain!$B$17*(Helper_calcs!$B$14-Helper_calcs!$B$15)),x)))</f>
        <v>2100000</v>
      </c>
      <c r="Q240" s="161"/>
    </row>
    <row r="241" spans="1:17" x14ac:dyDescent="0.25">
      <c r="A241">
        <f t="shared" si="32"/>
        <v>2.9999999999999796</v>
      </c>
      <c r="B241">
        <f>Main!$B$19/A241</f>
        <v>1.6666666666666781</v>
      </c>
      <c r="D241" s="161">
        <f t="shared" si="25"/>
        <v>1.6666666666666781</v>
      </c>
      <c r="E241" s="161">
        <f>-B241*Main!$B$18-2*Main!$B$18*loop_gain!$B$17*loop_gain!$B$18</f>
        <v>-186.32000000000014</v>
      </c>
      <c r="F241" s="161">
        <f>2*Main!$B$18*loop_gain!$B$17*loop_gain!$B$18*Helper_calcs!$B$14*Current_limit!B241</f>
        <v>1081.0800000000072</v>
      </c>
      <c r="G241" s="161">
        <f t="shared" si="27"/>
        <v>6.1394444922079066</v>
      </c>
      <c r="H241" s="161">
        <f>(Main!$B$18-Current_limit!G241)*Current_limit!G241/(Main!$B$18*loop_gain!$B$17*loop_gain!$B$18)</f>
        <v>0.43266660935056378</v>
      </c>
      <c r="I241" s="161">
        <f t="shared" si="28"/>
        <v>3.4673333906494368</v>
      </c>
      <c r="J241" s="161"/>
      <c r="K241" s="163">
        <f>IF(A241&gt;$B$15,IF(I241&gt;Helper_calcs!$B$15,23,3),0)</f>
        <v>0</v>
      </c>
      <c r="L241" s="162">
        <f t="shared" si="26"/>
        <v>0</v>
      </c>
      <c r="M241" s="162">
        <f t="shared" si="29"/>
        <v>0</v>
      </c>
      <c r="N241" s="161">
        <f t="shared" si="30"/>
        <v>2.9999999999999796</v>
      </c>
      <c r="O241" s="161">
        <f t="shared" si="31"/>
        <v>5</v>
      </c>
      <c r="P241" s="149">
        <f>IF(OR(M241=0,M241=3),loop_gain!$B$18,IF(Current_limit!M241=1,Current_limit!$B$12/(2*(Current_limit!N241-Helper_calcs!$B$15)),IF(OR(M241=2,M241=23),(Main!$B$18-Current_limit!O241)*Current_limit!O241/(Main!$B$18*loop_gain!$B$17*(Helper_calcs!$B$14-Helper_calcs!$B$15)),x)))</f>
        <v>2100000</v>
      </c>
      <c r="Q241" s="161"/>
    </row>
    <row r="242" spans="1:17" x14ac:dyDescent="0.25">
      <c r="A242">
        <f t="shared" si="32"/>
        <v>3.0099999999999794</v>
      </c>
      <c r="B242">
        <f>Main!$B$19/A242</f>
        <v>1.6611295681063236</v>
      </c>
      <c r="D242" s="161">
        <f t="shared" si="25"/>
        <v>1.6611295681063236</v>
      </c>
      <c r="E242" s="161">
        <f>-B242*Main!$B$18-2*Main!$B$18*loop_gain!$B$17*loop_gain!$B$18</f>
        <v>-186.25355481727587</v>
      </c>
      <c r="F242" s="161">
        <f>2*Main!$B$18*loop_gain!$B$17*loop_gain!$B$18*Helper_calcs!$B$14*Current_limit!B242</f>
        <v>1077.4883720930304</v>
      </c>
      <c r="G242" s="161">
        <f t="shared" si="27"/>
        <v>6.1189948825992184</v>
      </c>
      <c r="H242" s="161">
        <f>(Main!$B$18-Current_limit!G242)*Current_limit!G242/(Main!$B$18*loop_gain!$B$17*loop_gain!$B$18)</f>
        <v>0.43273016135059161</v>
      </c>
      <c r="I242" s="161">
        <f t="shared" si="28"/>
        <v>3.4672698386494085</v>
      </c>
      <c r="J242" s="161"/>
      <c r="K242" s="163">
        <f>IF(A242&gt;$B$15,IF(I242&gt;Helper_calcs!$B$15,23,3),0)</f>
        <v>0</v>
      </c>
      <c r="L242" s="162">
        <f t="shared" si="26"/>
        <v>0</v>
      </c>
      <c r="M242" s="162">
        <f t="shared" si="29"/>
        <v>0</v>
      </c>
      <c r="N242" s="161">
        <f t="shared" si="30"/>
        <v>3.0099999999999794</v>
      </c>
      <c r="O242" s="161">
        <f t="shared" si="31"/>
        <v>5</v>
      </c>
      <c r="P242" s="149">
        <f>IF(OR(M242=0,M242=3),loop_gain!$B$18,IF(Current_limit!M242=1,Current_limit!$B$12/(2*(Current_limit!N242-Helper_calcs!$B$15)),IF(OR(M242=2,M242=23),(Main!$B$18-Current_limit!O242)*Current_limit!O242/(Main!$B$18*loop_gain!$B$17*(Helper_calcs!$B$14-Helper_calcs!$B$15)),x)))</f>
        <v>2100000</v>
      </c>
      <c r="Q242" s="161"/>
    </row>
    <row r="243" spans="1:17" x14ac:dyDescent="0.25">
      <c r="A243">
        <f t="shared" si="32"/>
        <v>3.0199999999999791</v>
      </c>
      <c r="B243">
        <f>Main!$B$19/A243</f>
        <v>1.655629139072859</v>
      </c>
      <c r="D243" s="161">
        <f t="shared" si="25"/>
        <v>1.655629139072859</v>
      </c>
      <c r="E243" s="161">
        <f>-B243*Main!$B$18-2*Main!$B$18*loop_gain!$B$17*loop_gain!$B$18</f>
        <v>-186.18754966887431</v>
      </c>
      <c r="F243" s="161">
        <f>2*Main!$B$18*loop_gain!$B$17*loop_gain!$B$18*Helper_calcs!$B$14*Current_limit!B243</f>
        <v>1073.9205298013317</v>
      </c>
      <c r="G243" s="161">
        <f t="shared" si="27"/>
        <v>6.0986893093241115</v>
      </c>
      <c r="H243" s="161">
        <f>(Main!$B$18-Current_limit!G243)*Current_limit!G243/(Main!$B$18*loop_gain!$B$17*loop_gain!$B$18)</f>
        <v>0.43278331433652151</v>
      </c>
      <c r="I243" s="161">
        <f t="shared" si="28"/>
        <v>3.4672166856634772</v>
      </c>
      <c r="J243" s="161"/>
      <c r="K243" s="163">
        <f>IF(A243&gt;$B$15,IF(I243&gt;Helper_calcs!$B$15,23,3),0)</f>
        <v>0</v>
      </c>
      <c r="L243" s="162">
        <f t="shared" si="26"/>
        <v>0</v>
      </c>
      <c r="M243" s="162">
        <f t="shared" si="29"/>
        <v>0</v>
      </c>
      <c r="N243" s="161">
        <f t="shared" si="30"/>
        <v>3.0199999999999791</v>
      </c>
      <c r="O243" s="161">
        <f t="shared" si="31"/>
        <v>5</v>
      </c>
      <c r="P243" s="149">
        <f>IF(OR(M243=0,M243=3),loop_gain!$B$18,IF(Current_limit!M243=1,Current_limit!$B$12/(2*(Current_limit!N243-Helper_calcs!$B$15)),IF(OR(M243=2,M243=23),(Main!$B$18-Current_limit!O243)*Current_limit!O243/(Main!$B$18*loop_gain!$B$17*(Helper_calcs!$B$14-Helper_calcs!$B$15)),x)))</f>
        <v>2100000</v>
      </c>
      <c r="Q243" s="161"/>
    </row>
    <row r="244" spans="1:17" x14ac:dyDescent="0.25">
      <c r="A244">
        <f t="shared" si="32"/>
        <v>3.0299999999999789</v>
      </c>
      <c r="B244">
        <f>Main!$B$19/A244</f>
        <v>1.6501650165016617</v>
      </c>
      <c r="D244" s="161">
        <f t="shared" si="25"/>
        <v>1.6501650165016617</v>
      </c>
      <c r="E244" s="161">
        <f>-B244*Main!$B$18-2*Main!$B$18*loop_gain!$B$17*loop_gain!$B$18</f>
        <v>-186.12198019801994</v>
      </c>
      <c r="F244" s="161">
        <f>2*Main!$B$18*loop_gain!$B$17*loop_gain!$B$18*Helper_calcs!$B$14*Current_limit!B244</f>
        <v>1070.3762376237696</v>
      </c>
      <c r="G244" s="161">
        <f t="shared" si="27"/>
        <v>6.0785261696737942</v>
      </c>
      <c r="H244" s="161">
        <f>(Main!$B$18-Current_limit!G244)*Current_limit!G244/(Main!$B$18*loop_gain!$B$17*loop_gain!$B$18)</f>
        <v>0.43282628235541565</v>
      </c>
      <c r="I244" s="161">
        <f t="shared" si="28"/>
        <v>3.4671737176445858</v>
      </c>
      <c r="J244" s="161"/>
      <c r="K244" s="163">
        <f>IF(A244&gt;$B$15,IF(I244&gt;Helper_calcs!$B$15,23,3),0)</f>
        <v>0</v>
      </c>
      <c r="L244" s="162">
        <f t="shared" si="26"/>
        <v>0</v>
      </c>
      <c r="M244" s="162">
        <f t="shared" si="29"/>
        <v>0</v>
      </c>
      <c r="N244" s="161">
        <f t="shared" si="30"/>
        <v>3.0299999999999789</v>
      </c>
      <c r="O244" s="161">
        <f t="shared" si="31"/>
        <v>5</v>
      </c>
      <c r="P244" s="149">
        <f>IF(OR(M244=0,M244=3),loop_gain!$B$18,IF(Current_limit!M244=1,Current_limit!$B$12/(2*(Current_limit!N244-Helper_calcs!$B$15)),IF(OR(M244=2,M244=23),(Main!$B$18-Current_limit!O244)*Current_limit!O244/(Main!$B$18*loop_gain!$B$17*(Helper_calcs!$B$14-Helper_calcs!$B$15)),x)))</f>
        <v>2100000</v>
      </c>
      <c r="Q244" s="161"/>
    </row>
    <row r="245" spans="1:17" x14ac:dyDescent="0.25">
      <c r="A245">
        <f t="shared" si="32"/>
        <v>3.0399999999999787</v>
      </c>
      <c r="B245">
        <f>Main!$B$19/A245</f>
        <v>1.6447368421052746</v>
      </c>
      <c r="D245" s="161">
        <f t="shared" si="25"/>
        <v>1.6447368421052746</v>
      </c>
      <c r="E245" s="161">
        <f>-B245*Main!$B$18-2*Main!$B$18*loop_gain!$B$17*loop_gain!$B$18</f>
        <v>-186.05684210526329</v>
      </c>
      <c r="F245" s="161">
        <f>2*Main!$B$18*loop_gain!$B$17*loop_gain!$B$18*Helper_calcs!$B$14*Current_limit!B245</f>
        <v>1066.8552631579021</v>
      </c>
      <c r="G245" s="161">
        <f t="shared" si="27"/>
        <v>6.0585038858258784</v>
      </c>
      <c r="H245" s="161">
        <f>(Main!$B$18-Current_limit!G245)*Current_limit!G245/(Main!$B$18*loop_gain!$B$17*loop_gain!$B$18)</f>
        <v>0.43285927483577769</v>
      </c>
      <c r="I245" s="161">
        <f t="shared" si="28"/>
        <v>3.4671407251642195</v>
      </c>
      <c r="J245" s="161"/>
      <c r="K245" s="163">
        <f>IF(A245&gt;$B$15,IF(I245&gt;Helper_calcs!$B$15,23,3),0)</f>
        <v>0</v>
      </c>
      <c r="L245" s="162">
        <f t="shared" si="26"/>
        <v>0</v>
      </c>
      <c r="M245" s="162">
        <f t="shared" si="29"/>
        <v>0</v>
      </c>
      <c r="N245" s="161">
        <f t="shared" si="30"/>
        <v>3.0399999999999787</v>
      </c>
      <c r="O245" s="161">
        <f t="shared" si="31"/>
        <v>5</v>
      </c>
      <c r="P245" s="149">
        <f>IF(OR(M245=0,M245=3),loop_gain!$B$18,IF(Current_limit!M245=1,Current_limit!$B$12/(2*(Current_limit!N245-Helper_calcs!$B$15)),IF(OR(M245=2,M245=23),(Main!$B$18-Current_limit!O245)*Current_limit!O245/(Main!$B$18*loop_gain!$B$17*(Helper_calcs!$B$14-Helper_calcs!$B$15)),x)))</f>
        <v>2100000</v>
      </c>
      <c r="Q245" s="161"/>
    </row>
    <row r="246" spans="1:17" x14ac:dyDescent="0.25">
      <c r="A246">
        <f t="shared" si="32"/>
        <v>3.0499999999999785</v>
      </c>
      <c r="B246">
        <f>Main!$B$19/A246</f>
        <v>1.6393442622950936</v>
      </c>
      <c r="D246" s="161">
        <f t="shared" si="25"/>
        <v>1.6393442622950936</v>
      </c>
      <c r="E246" s="161">
        <f>-B246*Main!$B$18-2*Main!$B$18*loop_gain!$B$17*loop_gain!$B$18</f>
        <v>-185.9921311475411</v>
      </c>
      <c r="F246" s="161">
        <f>2*Main!$B$18*loop_gain!$B$17*loop_gain!$B$18*Helper_calcs!$B$14*Current_limit!B246</f>
        <v>1063.3573770491878</v>
      </c>
      <c r="G246" s="161">
        <f t="shared" si="27"/>
        <v>6.0386209043425714</v>
      </c>
      <c r="H246" s="161">
        <f>(Main!$B$18-Current_limit!G246)*Current_limit!G246/(Main!$B$18*loop_gain!$B$17*loop_gain!$B$18)</f>
        <v>0.43288249670211359</v>
      </c>
      <c r="I246" s="161">
        <f t="shared" si="28"/>
        <v>3.4671175032978856</v>
      </c>
      <c r="J246" s="161"/>
      <c r="K246" s="163">
        <f>IF(A246&gt;$B$15,IF(I246&gt;Helper_calcs!$B$15,23,3),0)</f>
        <v>0</v>
      </c>
      <c r="L246" s="162">
        <f t="shared" si="26"/>
        <v>0</v>
      </c>
      <c r="M246" s="162">
        <f t="shared" si="29"/>
        <v>0</v>
      </c>
      <c r="N246" s="161">
        <f t="shared" si="30"/>
        <v>3.0499999999999785</v>
      </c>
      <c r="O246" s="161">
        <f t="shared" si="31"/>
        <v>5</v>
      </c>
      <c r="P246" s="149">
        <f>IF(OR(M246=0,M246=3),loop_gain!$B$18,IF(Current_limit!M246=1,Current_limit!$B$12/(2*(Current_limit!N246-Helper_calcs!$B$15)),IF(OR(M246=2,M246=23),(Main!$B$18-Current_limit!O246)*Current_limit!O246/(Main!$B$18*loop_gain!$B$17*(Helper_calcs!$B$14-Helper_calcs!$B$15)),x)))</f>
        <v>2100000</v>
      </c>
      <c r="Q246" s="161"/>
    </row>
    <row r="247" spans="1:17" x14ac:dyDescent="0.25">
      <c r="A247">
        <f t="shared" si="32"/>
        <v>3.0599999999999783</v>
      </c>
      <c r="B247">
        <f>Main!$B$19/A247</f>
        <v>1.6339869281045867</v>
      </c>
      <c r="D247" s="161">
        <f t="shared" si="25"/>
        <v>1.6339869281045867</v>
      </c>
      <c r="E247" s="161">
        <f>-B247*Main!$B$18-2*Main!$B$18*loop_gain!$B$17*loop_gain!$B$18</f>
        <v>-185.92784313725502</v>
      </c>
      <c r="F247" s="161">
        <f>2*Main!$B$18*loop_gain!$B$17*loop_gain!$B$18*Helper_calcs!$B$14*Current_limit!B247</f>
        <v>1059.8823529411839</v>
      </c>
      <c r="G247" s="161">
        <f t="shared" si="27"/>
        <v>6.0188756956812517</v>
      </c>
      <c r="H247" s="161">
        <f>(Main!$B$18-Current_limit!G247)*Current_limit!G247/(Main!$B$18*loop_gain!$B$17*loop_gain!$B$18)</f>
        <v>0.43289614848620195</v>
      </c>
      <c r="I247" s="161">
        <f t="shared" si="28"/>
        <v>3.4671038515137989</v>
      </c>
      <c r="J247" s="161"/>
      <c r="K247" s="163">
        <f>IF(A247&gt;$B$15,IF(I247&gt;Helper_calcs!$B$15,23,3),0)</f>
        <v>0</v>
      </c>
      <c r="L247" s="162">
        <f t="shared" si="26"/>
        <v>0</v>
      </c>
      <c r="M247" s="162">
        <f t="shared" si="29"/>
        <v>0</v>
      </c>
      <c r="N247" s="161">
        <f t="shared" si="30"/>
        <v>3.0599999999999783</v>
      </c>
      <c r="O247" s="161">
        <f t="shared" si="31"/>
        <v>5</v>
      </c>
      <c r="P247" s="149">
        <f>IF(OR(M247=0,M247=3),loop_gain!$B$18,IF(Current_limit!M247=1,Current_limit!$B$12/(2*(Current_limit!N247-Helper_calcs!$B$15)),IF(OR(M247=2,M247=23),(Main!$B$18-Current_limit!O247)*Current_limit!O247/(Main!$B$18*loop_gain!$B$17*(Helper_calcs!$B$14-Helper_calcs!$B$15)),x)))</f>
        <v>2100000</v>
      </c>
      <c r="Q247" s="161"/>
    </row>
    <row r="248" spans="1:17" x14ac:dyDescent="0.25">
      <c r="A248">
        <f t="shared" si="32"/>
        <v>3.0699999999999781</v>
      </c>
      <c r="B248">
        <f>Main!$B$19/A248</f>
        <v>1.6286644951140181</v>
      </c>
      <c r="D248" s="161">
        <f t="shared" si="25"/>
        <v>1.6286644951140181</v>
      </c>
      <c r="E248" s="161">
        <f>-B248*Main!$B$18-2*Main!$B$18*loop_gain!$B$17*loop_gain!$B$18</f>
        <v>-185.86397394136822</v>
      </c>
      <c r="F248" s="161">
        <f>2*Main!$B$18*loop_gain!$B$17*loop_gain!$B$18*Helper_calcs!$B$14*Current_limit!B248</f>
        <v>1056.4299674267174</v>
      </c>
      <c r="G248" s="161">
        <f t="shared" si="27"/>
        <v>5.9992667537173219</v>
      </c>
      <c r="H248" s="161">
        <f>(Main!$B$18-Current_limit!G248)*Current_limit!G248/(Main!$B$18*loop_gain!$B$17*loop_gain!$B$18)</f>
        <v>0.43290042643518389</v>
      </c>
      <c r="I248" s="161">
        <f t="shared" si="28"/>
        <v>3.4670995735648171</v>
      </c>
      <c r="J248" s="161"/>
      <c r="K248" s="163">
        <f>IF(A248&gt;$B$15,IF(I248&gt;Helper_calcs!$B$15,23,3),0)</f>
        <v>0</v>
      </c>
      <c r="L248" s="162">
        <f t="shared" si="26"/>
        <v>0</v>
      </c>
      <c r="M248" s="162">
        <f t="shared" si="29"/>
        <v>0</v>
      </c>
      <c r="N248" s="161">
        <f t="shared" si="30"/>
        <v>3.0699999999999781</v>
      </c>
      <c r="O248" s="161">
        <f t="shared" si="31"/>
        <v>5</v>
      </c>
      <c r="P248" s="149">
        <f>IF(OR(M248=0,M248=3),loop_gain!$B$18,IF(Current_limit!M248=1,Current_limit!$B$12/(2*(Current_limit!N248-Helper_calcs!$B$15)),IF(OR(M248=2,M248=23),(Main!$B$18-Current_limit!O248)*Current_limit!O248/(Main!$B$18*loop_gain!$B$17*(Helper_calcs!$B$14-Helper_calcs!$B$15)),x)))</f>
        <v>2100000</v>
      </c>
      <c r="Q248" s="161"/>
    </row>
    <row r="249" spans="1:17" x14ac:dyDescent="0.25">
      <c r="A249">
        <f t="shared" si="32"/>
        <v>3.0799999999999779</v>
      </c>
      <c r="B249">
        <f>Main!$B$19/A249</f>
        <v>1.6233766233766351</v>
      </c>
      <c r="D249" s="161">
        <f t="shared" si="25"/>
        <v>1.6233766233766351</v>
      </c>
      <c r="E249" s="161">
        <f>-B249*Main!$B$18-2*Main!$B$18*loop_gain!$B$17*loop_gain!$B$18</f>
        <v>-185.80051948051963</v>
      </c>
      <c r="F249" s="161">
        <f>2*Main!$B$18*loop_gain!$B$17*loop_gain!$B$18*Helper_calcs!$B$14*Current_limit!B249</f>
        <v>1053.0000000000075</v>
      </c>
      <c r="G249" s="161">
        <f t="shared" si="27"/>
        <v>5.9797925952787923</v>
      </c>
      <c r="H249" s="161">
        <f>(Main!$B$18-Current_limit!G249)*Current_limit!G249/(Main!$B$18*loop_gain!$B$17*loop_gain!$B$18)</f>
        <v>0.43289552261657571</v>
      </c>
      <c r="I249" s="161">
        <f t="shared" si="28"/>
        <v>3.4671044773834212</v>
      </c>
      <c r="J249" s="161"/>
      <c r="K249" s="163">
        <f>IF(A249&gt;$B$15,IF(I249&gt;Helper_calcs!$B$15,23,3),0)</f>
        <v>0</v>
      </c>
      <c r="L249" s="162">
        <f t="shared" si="26"/>
        <v>0</v>
      </c>
      <c r="M249" s="162">
        <f t="shared" si="29"/>
        <v>0</v>
      </c>
      <c r="N249" s="161">
        <f t="shared" si="30"/>
        <v>3.0799999999999779</v>
      </c>
      <c r="O249" s="161">
        <f t="shared" si="31"/>
        <v>5</v>
      </c>
      <c r="P249" s="149">
        <f>IF(OR(M249=0,M249=3),loop_gain!$B$18,IF(Current_limit!M249=1,Current_limit!$B$12/(2*(Current_limit!N249-Helper_calcs!$B$15)),IF(OR(M249=2,M249=23),(Main!$B$18-Current_limit!O249)*Current_limit!O249/(Main!$B$18*loop_gain!$B$17*(Helper_calcs!$B$14-Helper_calcs!$B$15)),x)))</f>
        <v>2100000</v>
      </c>
      <c r="Q249" s="161"/>
    </row>
    <row r="250" spans="1:17" x14ac:dyDescent="0.25">
      <c r="A250">
        <f t="shared" si="32"/>
        <v>3.0899999999999777</v>
      </c>
      <c r="B250">
        <f>Main!$B$19/A250</f>
        <v>1.61812297734629</v>
      </c>
      <c r="D250" s="161">
        <f t="shared" si="25"/>
        <v>1.61812297734629</v>
      </c>
      <c r="E250" s="161">
        <f>-B250*Main!$B$18-2*Main!$B$18*loop_gain!$B$17*loop_gain!$B$18</f>
        <v>-185.73747572815546</v>
      </c>
      <c r="F250" s="161">
        <f>2*Main!$B$18*loop_gain!$B$17*loop_gain!$B$18*Helper_calcs!$B$14*Current_limit!B250</f>
        <v>1049.5922330097162</v>
      </c>
      <c r="G250" s="161">
        <f t="shared" si="27"/>
        <v>5.9604517596923587</v>
      </c>
      <c r="H250" s="161">
        <f>(Main!$B$18-Current_limit!G250)*Current_limit!G250/(Main!$B$18*loop_gain!$B$17*loop_gain!$B$18)</f>
        <v>0.43288162502030503</v>
      </c>
      <c r="I250" s="161">
        <f t="shared" si="28"/>
        <v>3.4671183749796985</v>
      </c>
      <c r="J250" s="161"/>
      <c r="K250" s="163">
        <f>IF(A250&gt;$B$15,IF(I250&gt;Helper_calcs!$B$15,23,3),0)</f>
        <v>0</v>
      </c>
      <c r="L250" s="162">
        <f t="shared" si="26"/>
        <v>0</v>
      </c>
      <c r="M250" s="162">
        <f t="shared" si="29"/>
        <v>0</v>
      </c>
      <c r="N250" s="161">
        <f t="shared" si="30"/>
        <v>3.0899999999999777</v>
      </c>
      <c r="O250" s="161">
        <f t="shared" si="31"/>
        <v>5</v>
      </c>
      <c r="P250" s="149">
        <f>IF(OR(M250=0,M250=3),loop_gain!$B$18,IF(Current_limit!M250=1,Current_limit!$B$12/(2*(Current_limit!N250-Helper_calcs!$B$15)),IF(OR(M250=2,M250=23),(Main!$B$18-Current_limit!O250)*Current_limit!O250/(Main!$B$18*loop_gain!$B$17*(Helper_calcs!$B$14-Helper_calcs!$B$15)),x)))</f>
        <v>2100000</v>
      </c>
      <c r="Q250" s="161"/>
    </row>
    <row r="251" spans="1:17" x14ac:dyDescent="0.25">
      <c r="A251">
        <f t="shared" si="32"/>
        <v>3.0999999999999774</v>
      </c>
      <c r="B251">
        <f>Main!$B$19/A251</f>
        <v>1.6129032258064633</v>
      </c>
      <c r="D251" s="161">
        <f t="shared" si="25"/>
        <v>1.6129032258064633</v>
      </c>
      <c r="E251" s="161">
        <f>-B251*Main!$B$18-2*Main!$B$18*loop_gain!$B$17*loop_gain!$B$18</f>
        <v>-185.67483870967754</v>
      </c>
      <c r="F251" s="161">
        <f>2*Main!$B$18*loop_gain!$B$17*loop_gain!$B$18*Helper_calcs!$B$14*Current_limit!B251</f>
        <v>1046.2064516129105</v>
      </c>
      <c r="G251" s="161">
        <f t="shared" si="27"/>
        <v>5.9412428083404665</v>
      </c>
      <c r="H251" s="161">
        <f>(Main!$B$18-Current_limit!G251)*Current_limit!G251/(Main!$B$18*loop_gain!$B$17*loop_gain!$B$18)</f>
        <v>0.43285891765786783</v>
      </c>
      <c r="I251" s="161">
        <f t="shared" si="28"/>
        <v>3.4671410823421289</v>
      </c>
      <c r="J251" s="161"/>
      <c r="K251" s="163">
        <f>IF(A251&gt;$B$15,IF(I251&gt;Helper_calcs!$B$15,23,3),0)</f>
        <v>0</v>
      </c>
      <c r="L251" s="162">
        <f t="shared" si="26"/>
        <v>0</v>
      </c>
      <c r="M251" s="162">
        <f t="shared" si="29"/>
        <v>0</v>
      </c>
      <c r="N251" s="161">
        <f t="shared" si="30"/>
        <v>3.0999999999999774</v>
      </c>
      <c r="O251" s="161">
        <f t="shared" si="31"/>
        <v>5</v>
      </c>
      <c r="P251" s="149">
        <f>IF(OR(M251=0,M251=3),loop_gain!$B$18,IF(Current_limit!M251=1,Current_limit!$B$12/(2*(Current_limit!N251-Helper_calcs!$B$15)),IF(OR(M251=2,M251=23),(Main!$B$18-Current_limit!O251)*Current_limit!O251/(Main!$B$18*loop_gain!$B$17*(Helper_calcs!$B$14-Helper_calcs!$B$15)),x)))</f>
        <v>2100000</v>
      </c>
      <c r="Q251" s="161"/>
    </row>
    <row r="252" spans="1:17" x14ac:dyDescent="0.25">
      <c r="A252">
        <f t="shared" si="32"/>
        <v>3.1099999999999772</v>
      </c>
      <c r="B252">
        <f>Main!$B$19/A252</f>
        <v>1.6077170418006548</v>
      </c>
      <c r="D252" s="161">
        <f t="shared" si="25"/>
        <v>1.6077170418006548</v>
      </c>
      <c r="E252" s="161">
        <f>-B252*Main!$B$18-2*Main!$B$18*loop_gain!$B$17*loop_gain!$B$18</f>
        <v>-185.61260450160785</v>
      </c>
      <c r="F252" s="161">
        <f>2*Main!$B$18*loop_gain!$B$17*loop_gain!$B$18*Helper_calcs!$B$14*Current_limit!B252</f>
        <v>1042.8424437299109</v>
      </c>
      <c r="G252" s="161">
        <f t="shared" si="27"/>
        <v>5.9221643242293833</v>
      </c>
      <c r="H252" s="161">
        <f>(Main!$B$18-Current_limit!G252)*Current_limit!G252/(Main!$B$18*loop_gain!$B$17*loop_gain!$B$18)</f>
        <v>0.43282758065869814</v>
      </c>
      <c r="I252" s="161">
        <f t="shared" si="28"/>
        <v>3.4671724193413005</v>
      </c>
      <c r="J252" s="161"/>
      <c r="K252" s="163">
        <f>IF(A252&gt;$B$15,IF(I252&gt;Helper_calcs!$B$15,23,3),0)</f>
        <v>0</v>
      </c>
      <c r="L252" s="162">
        <f t="shared" si="26"/>
        <v>0</v>
      </c>
      <c r="M252" s="162">
        <f t="shared" si="29"/>
        <v>0</v>
      </c>
      <c r="N252" s="161">
        <f t="shared" si="30"/>
        <v>3.1099999999999772</v>
      </c>
      <c r="O252" s="161">
        <f t="shared" si="31"/>
        <v>5</v>
      </c>
      <c r="P252" s="149">
        <f>IF(OR(M252=0,M252=3),loop_gain!$B$18,IF(Current_limit!M252=1,Current_limit!$B$12/(2*(Current_limit!N252-Helper_calcs!$B$15)),IF(OR(M252=2,M252=23),(Main!$B$18-Current_limit!O252)*Current_limit!O252/(Main!$B$18*loop_gain!$B$17*(Helper_calcs!$B$14-Helper_calcs!$B$15)),x)))</f>
        <v>2100000</v>
      </c>
      <c r="Q252" s="161"/>
    </row>
    <row r="253" spans="1:17" x14ac:dyDescent="0.25">
      <c r="A253">
        <f t="shared" si="32"/>
        <v>3.119999999999977</v>
      </c>
      <c r="B253">
        <f>Main!$B$19/A253</f>
        <v>1.6025641025641144</v>
      </c>
      <c r="D253" s="161">
        <f t="shared" si="25"/>
        <v>1.6025641025641144</v>
      </c>
      <c r="E253" s="161">
        <f>-B253*Main!$B$18-2*Main!$B$18*loop_gain!$B$17*loop_gain!$B$18</f>
        <v>-185.55076923076936</v>
      </c>
      <c r="F253" s="161">
        <f>2*Main!$B$18*loop_gain!$B$17*loop_gain!$B$18*Helper_calcs!$B$14*Current_limit!B253</f>
        <v>1039.5000000000075</v>
      </c>
      <c r="G253" s="161">
        <f t="shared" si="27"/>
        <v>5.9032149115674803</v>
      </c>
      <c r="H253" s="161">
        <f>(Main!$B$18-Current_limit!G253)*Current_limit!G253/(Main!$B$18*loop_gain!$B$17*loop_gain!$B$18)</f>
        <v>0.43278779036384213</v>
      </c>
      <c r="I253" s="161">
        <f t="shared" si="28"/>
        <v>3.4672122096361595</v>
      </c>
      <c r="J253" s="161"/>
      <c r="K253" s="163">
        <f>IF(A253&gt;$B$15,IF(I253&gt;Helper_calcs!$B$15,23,3),0)</f>
        <v>0</v>
      </c>
      <c r="L253" s="162">
        <f t="shared" si="26"/>
        <v>0</v>
      </c>
      <c r="M253" s="162">
        <f t="shared" si="29"/>
        <v>0</v>
      </c>
      <c r="N253" s="161">
        <f t="shared" si="30"/>
        <v>3.119999999999977</v>
      </c>
      <c r="O253" s="161">
        <f t="shared" si="31"/>
        <v>5</v>
      </c>
      <c r="P253" s="149">
        <f>IF(OR(M253=0,M253=3),loop_gain!$B$18,IF(Current_limit!M253=1,Current_limit!$B$12/(2*(Current_limit!N253-Helper_calcs!$B$15)),IF(OR(M253=2,M253=23),(Main!$B$18-Current_limit!O253)*Current_limit!O253/(Main!$B$18*loop_gain!$B$17*(Helper_calcs!$B$14-Helper_calcs!$B$15)),x)))</f>
        <v>2100000</v>
      </c>
      <c r="Q253" s="161"/>
    </row>
    <row r="254" spans="1:17" x14ac:dyDescent="0.25">
      <c r="A254">
        <f t="shared" si="32"/>
        <v>3.1299999999999768</v>
      </c>
      <c r="B254">
        <f>Main!$B$19/A254</f>
        <v>1.5974440894568809</v>
      </c>
      <c r="D254" s="161">
        <f t="shared" si="25"/>
        <v>1.5974440894568809</v>
      </c>
      <c r="E254" s="161">
        <f>-B254*Main!$B$18-2*Main!$B$18*loop_gain!$B$17*loop_gain!$B$18</f>
        <v>-185.48932907348257</v>
      </c>
      <c r="F254" s="161">
        <f>2*Main!$B$18*loop_gain!$B$17*loop_gain!$B$18*Helper_calcs!$B$14*Current_limit!B254</f>
        <v>1036.1789137380267</v>
      </c>
      <c r="G254" s="161">
        <f t="shared" si="27"/>
        <v>5.8843931953538613</v>
      </c>
      <c r="H254" s="161">
        <f>(Main!$B$18-Current_limit!G254)*Current_limit!G254/(Main!$B$18*loop_gain!$B$17*loop_gain!$B$18)</f>
        <v>0.4327397194170215</v>
      </c>
      <c r="I254" s="161">
        <f t="shared" si="28"/>
        <v>3.4672602805829791</v>
      </c>
      <c r="J254" s="161"/>
      <c r="K254" s="163">
        <f>IF(A254&gt;$B$15,IF(I254&gt;Helper_calcs!$B$15,23,3),0)</f>
        <v>0</v>
      </c>
      <c r="L254" s="162">
        <f t="shared" si="26"/>
        <v>0</v>
      </c>
      <c r="M254" s="162">
        <f t="shared" si="29"/>
        <v>0</v>
      </c>
      <c r="N254" s="161">
        <f t="shared" si="30"/>
        <v>3.1299999999999768</v>
      </c>
      <c r="O254" s="161">
        <f t="shared" si="31"/>
        <v>5</v>
      </c>
      <c r="P254" s="149">
        <f>IF(OR(M254=0,M254=3),loop_gain!$B$18,IF(Current_limit!M254=1,Current_limit!$B$12/(2*(Current_limit!N254-Helper_calcs!$B$15)),IF(OR(M254=2,M254=23),(Main!$B$18-Current_limit!O254)*Current_limit!O254/(Main!$B$18*loop_gain!$B$17*(Helper_calcs!$B$14-Helper_calcs!$B$15)),x)))</f>
        <v>2100000</v>
      </c>
      <c r="Q254" s="161"/>
    </row>
    <row r="255" spans="1:17" x14ac:dyDescent="0.25">
      <c r="A255">
        <f t="shared" si="32"/>
        <v>3.1399999999999766</v>
      </c>
      <c r="B255">
        <f>Main!$B$19/A255</f>
        <v>1.592356687898101</v>
      </c>
      <c r="D255" s="161">
        <f t="shared" si="25"/>
        <v>1.592356687898101</v>
      </c>
      <c r="E255" s="161">
        <f>-B255*Main!$B$18-2*Main!$B$18*loop_gain!$B$17*loop_gain!$B$18</f>
        <v>-185.42828025477721</v>
      </c>
      <c r="F255" s="161">
        <f>2*Main!$B$18*loop_gain!$B$17*loop_gain!$B$18*Helper_calcs!$B$14*Current_limit!B255</f>
        <v>1032.8789808917272</v>
      </c>
      <c r="G255" s="161">
        <f t="shared" si="27"/>
        <v>5.865697820976818</v>
      </c>
      <c r="H255" s="161">
        <f>(Main!$B$18-Current_limit!G255)*Current_limit!G255/(Main!$B$18*loop_gain!$B$17*loop_gain!$B$18)</f>
        <v>0.43268353685317013</v>
      </c>
      <c r="I255" s="161">
        <f t="shared" si="28"/>
        <v>3.4673164631468292</v>
      </c>
      <c r="J255" s="161"/>
      <c r="K255" s="163">
        <f>IF(A255&gt;$B$15,IF(I255&gt;Helper_calcs!$B$15,23,3),0)</f>
        <v>0</v>
      </c>
      <c r="L255" s="162">
        <f t="shared" si="26"/>
        <v>0</v>
      </c>
      <c r="M255" s="162">
        <f t="shared" si="29"/>
        <v>0</v>
      </c>
      <c r="N255" s="161">
        <f t="shared" si="30"/>
        <v>3.1399999999999766</v>
      </c>
      <c r="O255" s="161">
        <f t="shared" si="31"/>
        <v>5</v>
      </c>
      <c r="P255" s="149">
        <f>IF(OR(M255=0,M255=3),loop_gain!$B$18,IF(Current_limit!M255=1,Current_limit!$B$12/(2*(Current_limit!N255-Helper_calcs!$B$15)),IF(OR(M255=2,M255=23),(Main!$B$18-Current_limit!O255)*Current_limit!O255/(Main!$B$18*loop_gain!$B$17*(Helper_calcs!$B$14-Helper_calcs!$B$15)),x)))</f>
        <v>2100000</v>
      </c>
      <c r="Q255" s="161"/>
    </row>
    <row r="256" spans="1:17" x14ac:dyDescent="0.25">
      <c r="A256">
        <f t="shared" si="32"/>
        <v>3.1499999999999764</v>
      </c>
      <c r="B256">
        <f>Main!$B$19/A256</f>
        <v>1.5873015873015992</v>
      </c>
      <c r="D256" s="161">
        <f t="shared" si="25"/>
        <v>1.5873015873015992</v>
      </c>
      <c r="E256" s="161">
        <f>-B256*Main!$B$18-2*Main!$B$18*loop_gain!$B$17*loop_gain!$B$18</f>
        <v>-185.36761904761917</v>
      </c>
      <c r="F256" s="161">
        <f>2*Main!$B$18*loop_gain!$B$17*loop_gain!$B$18*Helper_calcs!$B$14*Current_limit!B256</f>
        <v>1029.6000000000076</v>
      </c>
      <c r="G256" s="161">
        <f t="shared" si="27"/>
        <v>5.8471274538218578</v>
      </c>
      <c r="H256" s="161">
        <f>(Main!$B$18-Current_limit!G256)*Current_limit!G256/(Main!$B$18*loop_gain!$B$17*loop_gain!$B$18)</f>
        <v>0.43261940818452399</v>
      </c>
      <c r="I256" s="161">
        <f t="shared" si="28"/>
        <v>3.4673805918154805</v>
      </c>
      <c r="J256" s="161"/>
      <c r="K256" s="163">
        <f>IF(A256&gt;$B$15,IF(I256&gt;Helper_calcs!$B$15,23,3),0)</f>
        <v>0</v>
      </c>
      <c r="L256" s="162">
        <f t="shared" si="26"/>
        <v>0</v>
      </c>
      <c r="M256" s="162">
        <f t="shared" si="29"/>
        <v>0</v>
      </c>
      <c r="N256" s="161">
        <f t="shared" si="30"/>
        <v>3.1499999999999764</v>
      </c>
      <c r="O256" s="161">
        <f t="shared" si="31"/>
        <v>5</v>
      </c>
      <c r="P256" s="149">
        <f>IF(OR(M256=0,M256=3),loop_gain!$B$18,IF(Current_limit!M256=1,Current_limit!$B$12/(2*(Current_limit!N256-Helper_calcs!$B$15)),IF(OR(M256=2,M256=23),(Main!$B$18-Current_limit!O256)*Current_limit!O256/(Main!$B$18*loop_gain!$B$17*(Helper_calcs!$B$14-Helper_calcs!$B$15)),x)))</f>
        <v>2100000</v>
      </c>
      <c r="Q256" s="161"/>
    </row>
    <row r="257" spans="1:17" x14ac:dyDescent="0.25">
      <c r="A257">
        <f t="shared" si="32"/>
        <v>3.1599999999999762</v>
      </c>
      <c r="B257">
        <f>Main!$B$19/A257</f>
        <v>1.5822784810126702</v>
      </c>
      <c r="D257" s="161">
        <f t="shared" si="25"/>
        <v>1.5822784810126702</v>
      </c>
      <c r="E257" s="161">
        <f>-B257*Main!$B$18-2*Main!$B$18*loop_gain!$B$17*loop_gain!$B$18</f>
        <v>-185.30734177215203</v>
      </c>
      <c r="F257" s="161">
        <f>2*Main!$B$18*loop_gain!$B$17*loop_gain!$B$18*Helper_calcs!$B$14*Current_limit!B257</f>
        <v>1026.3417721519063</v>
      </c>
      <c r="G257" s="161">
        <f t="shared" si="27"/>
        <v>5.8286807788890114</v>
      </c>
      <c r="H257" s="161">
        <f>(Main!$B$18-Current_limit!G257)*Current_limit!G257/(Main!$B$18*loop_gain!$B$17*loop_gain!$B$18)</f>
        <v>0.43254749548434251</v>
      </c>
      <c r="I257" s="161">
        <f t="shared" si="28"/>
        <v>3.4674525045156557</v>
      </c>
      <c r="J257" s="161"/>
      <c r="K257" s="163">
        <f>IF(A257&gt;$B$15,IF(I257&gt;Helper_calcs!$B$15,23,3),0)</f>
        <v>0</v>
      </c>
      <c r="L257" s="162">
        <f t="shared" si="26"/>
        <v>0</v>
      </c>
      <c r="M257" s="162">
        <f t="shared" si="29"/>
        <v>0</v>
      </c>
      <c r="N257" s="161">
        <f t="shared" si="30"/>
        <v>3.1599999999999762</v>
      </c>
      <c r="O257" s="161">
        <f t="shared" si="31"/>
        <v>5</v>
      </c>
      <c r="P257" s="149">
        <f>IF(OR(M257=0,M257=3),loop_gain!$B$18,IF(Current_limit!M257=1,Current_limit!$B$12/(2*(Current_limit!N257-Helper_calcs!$B$15)),IF(OR(M257=2,M257=23),(Main!$B$18-Current_limit!O257)*Current_limit!O257/(Main!$B$18*loop_gain!$B$17*(Helper_calcs!$B$14-Helper_calcs!$B$15)),x)))</f>
        <v>2100000</v>
      </c>
      <c r="Q257" s="161"/>
    </row>
    <row r="258" spans="1:17" x14ac:dyDescent="0.25">
      <c r="A258">
        <f t="shared" si="32"/>
        <v>3.1699999999999759</v>
      </c>
      <c r="B258">
        <f>Main!$B$19/A258</f>
        <v>1.5772870662460687</v>
      </c>
      <c r="D258" s="161">
        <f t="shared" si="25"/>
        <v>1.5772870662460687</v>
      </c>
      <c r="E258" s="161">
        <f>-B258*Main!$B$18-2*Main!$B$18*loop_gain!$B$17*loop_gain!$B$18</f>
        <v>-185.24744479495283</v>
      </c>
      <c r="F258" s="161">
        <f>2*Main!$B$18*loop_gain!$B$17*loop_gain!$B$18*Helper_calcs!$B$14*Current_limit!B258</f>
        <v>1023.1041009463798</v>
      </c>
      <c r="G258" s="161">
        <f t="shared" si="27"/>
        <v>5.810356500419334</v>
      </c>
      <c r="H258" s="161">
        <f>(Main!$B$18-Current_limit!G258)*Current_limit!G258/(Main!$B$18*loop_gain!$B$17*loop_gain!$B$18)</f>
        <v>0.43246795746833572</v>
      </c>
      <c r="I258" s="161">
        <f t="shared" si="28"/>
        <v>3.467532042531662</v>
      </c>
      <c r="J258" s="161"/>
      <c r="K258" s="163">
        <f>IF(A258&gt;$B$15,IF(I258&gt;Helper_calcs!$B$15,23,3),0)</f>
        <v>0</v>
      </c>
      <c r="L258" s="162">
        <f t="shared" si="26"/>
        <v>0</v>
      </c>
      <c r="M258" s="162">
        <f t="shared" si="29"/>
        <v>0</v>
      </c>
      <c r="N258" s="161">
        <f t="shared" si="30"/>
        <v>3.1699999999999759</v>
      </c>
      <c r="O258" s="161">
        <f t="shared" si="31"/>
        <v>5</v>
      </c>
      <c r="P258" s="149">
        <f>IF(OR(M258=0,M258=3),loop_gain!$B$18,IF(Current_limit!M258=1,Current_limit!$B$12/(2*(Current_limit!N258-Helper_calcs!$B$15)),IF(OR(M258=2,M258=23),(Main!$B$18-Current_limit!O258)*Current_limit!O258/(Main!$B$18*loop_gain!$B$17*(Helper_calcs!$B$14-Helper_calcs!$B$15)),x)))</f>
        <v>2100000</v>
      </c>
      <c r="Q258" s="161"/>
    </row>
    <row r="259" spans="1:17" x14ac:dyDescent="0.25">
      <c r="A259">
        <f t="shared" si="32"/>
        <v>3.1799999999999757</v>
      </c>
      <c r="B259">
        <f>Main!$B$19/A259</f>
        <v>1.5723270440251693</v>
      </c>
      <c r="D259" s="161">
        <f t="shared" si="25"/>
        <v>1.5723270440251693</v>
      </c>
      <c r="E259" s="161">
        <f>-B259*Main!$B$18-2*Main!$B$18*loop_gain!$B$17*loop_gain!$B$18</f>
        <v>-185.18792452830203</v>
      </c>
      <c r="F259" s="161">
        <f>2*Main!$B$18*loop_gain!$B$17*loop_gain!$B$18*Helper_calcs!$B$14*Current_limit!B259</f>
        <v>1019.8867924528379</v>
      </c>
      <c r="G259" s="161">
        <f t="shared" si="27"/>
        <v>5.7921533415300246</v>
      </c>
      <c r="H259" s="161">
        <f>(Main!$B$18-Current_limit!G259)*Current_limit!G259/(Main!$B$18*loop_gain!$B$17*loop_gain!$B$18)</f>
        <v>0.43238094957386808</v>
      </c>
      <c r="I259" s="161">
        <f t="shared" si="28"/>
        <v>3.4676190504261335</v>
      </c>
      <c r="J259" s="161"/>
      <c r="K259" s="163">
        <f>IF(A259&gt;$B$15,IF(I259&gt;Helper_calcs!$B$15,23,3),0)</f>
        <v>0</v>
      </c>
      <c r="L259" s="162">
        <f t="shared" si="26"/>
        <v>0</v>
      </c>
      <c r="M259" s="162">
        <f t="shared" si="29"/>
        <v>0</v>
      </c>
      <c r="N259" s="161">
        <f t="shared" si="30"/>
        <v>3.1799999999999757</v>
      </c>
      <c r="O259" s="161">
        <f t="shared" si="31"/>
        <v>5</v>
      </c>
      <c r="P259" s="149">
        <f>IF(OR(M259=0,M259=3),loop_gain!$B$18,IF(Current_limit!M259=1,Current_limit!$B$12/(2*(Current_limit!N259-Helper_calcs!$B$15)),IF(OR(M259=2,M259=23),(Main!$B$18-Current_limit!O259)*Current_limit!O259/(Main!$B$18*loop_gain!$B$17*(Helper_calcs!$B$14-Helper_calcs!$B$15)),x)))</f>
        <v>2100000</v>
      </c>
      <c r="Q259" s="161"/>
    </row>
    <row r="260" spans="1:17" x14ac:dyDescent="0.25">
      <c r="A260">
        <f t="shared" si="32"/>
        <v>3.1899999999999755</v>
      </c>
      <c r="B260">
        <f>Main!$B$19/A260</f>
        <v>1.567398119122269</v>
      </c>
      <c r="D260" s="161">
        <f t="shared" si="25"/>
        <v>1.567398119122269</v>
      </c>
      <c r="E260" s="161">
        <f>-B260*Main!$B$18-2*Main!$B$18*loop_gain!$B$17*loop_gain!$B$18</f>
        <v>-185.12877742946722</v>
      </c>
      <c r="F260" s="161">
        <f>2*Main!$B$18*loop_gain!$B$17*loop_gain!$B$18*Helper_calcs!$B$14*Current_limit!B260</f>
        <v>1016.6896551724215</v>
      </c>
      <c r="G260" s="161">
        <f t="shared" si="27"/>
        <v>5.7740700438581847</v>
      </c>
      <c r="H260" s="161">
        <f>(Main!$B$18-Current_limit!G260)*Current_limit!G260/(Main!$B$18*loop_gain!$B$17*loop_gain!$B$18)</f>
        <v>0.43228662403701013</v>
      </c>
      <c r="I260" s="161">
        <f t="shared" si="28"/>
        <v>3.4677133759629886</v>
      </c>
      <c r="J260" s="161"/>
      <c r="K260" s="163">
        <f>IF(A260&gt;$B$15,IF(I260&gt;Helper_calcs!$B$15,23,3),0)</f>
        <v>0</v>
      </c>
      <c r="L260" s="162">
        <f t="shared" si="26"/>
        <v>0</v>
      </c>
      <c r="M260" s="162">
        <f t="shared" si="29"/>
        <v>0</v>
      </c>
      <c r="N260" s="161">
        <f t="shared" si="30"/>
        <v>3.1899999999999755</v>
      </c>
      <c r="O260" s="161">
        <f t="shared" si="31"/>
        <v>5</v>
      </c>
      <c r="P260" s="149">
        <f>IF(OR(M260=0,M260=3),loop_gain!$B$18,IF(Current_limit!M260=1,Current_limit!$B$12/(2*(Current_limit!N260-Helper_calcs!$B$15)),IF(OR(M260=2,M260=23),(Main!$B$18-Current_limit!O260)*Current_limit!O260/(Main!$B$18*loop_gain!$B$17*(Helper_calcs!$B$14-Helper_calcs!$B$15)),x)))</f>
        <v>2100000</v>
      </c>
      <c r="Q260" s="161"/>
    </row>
    <row r="261" spans="1:17" x14ac:dyDescent="0.25">
      <c r="A261">
        <f t="shared" si="32"/>
        <v>3.1999999999999753</v>
      </c>
      <c r="B261">
        <f>Main!$B$19/A261</f>
        <v>1.562500000000012</v>
      </c>
      <c r="D261" s="161">
        <f t="shared" si="25"/>
        <v>1.562500000000012</v>
      </c>
      <c r="E261" s="161">
        <f>-B261*Main!$B$18-2*Main!$B$18*loop_gain!$B$17*loop_gain!$B$18</f>
        <v>-185.07000000000014</v>
      </c>
      <c r="F261" s="161">
        <f>2*Main!$B$18*loop_gain!$B$17*loop_gain!$B$18*Helper_calcs!$B$14*Current_limit!B261</f>
        <v>1013.5125000000077</v>
      </c>
      <c r="G261" s="161">
        <f t="shared" si="27"/>
        <v>5.756105367212923</v>
      </c>
      <c r="H261" s="161">
        <f>(Main!$B$18-Current_limit!G261)*Current_limit!G261/(Main!$B$18*loop_gain!$B$17*loop_gain!$B$18)</f>
        <v>0.43218512996750436</v>
      </c>
      <c r="I261" s="161">
        <f t="shared" si="28"/>
        <v>3.4678148700324902</v>
      </c>
      <c r="J261" s="161"/>
      <c r="K261" s="163">
        <f>IF(A261&gt;$B$15,IF(I261&gt;Helper_calcs!$B$15,23,3),0)</f>
        <v>0</v>
      </c>
      <c r="L261" s="162">
        <f t="shared" si="26"/>
        <v>0</v>
      </c>
      <c r="M261" s="162">
        <f t="shared" si="29"/>
        <v>0</v>
      </c>
      <c r="N261" s="161">
        <f t="shared" si="30"/>
        <v>3.1999999999999753</v>
      </c>
      <c r="O261" s="161">
        <f t="shared" si="31"/>
        <v>5</v>
      </c>
      <c r="P261" s="149">
        <f>IF(OR(M261=0,M261=3),loop_gain!$B$18,IF(Current_limit!M261=1,Current_limit!$B$12/(2*(Current_limit!N261-Helper_calcs!$B$15)),IF(OR(M261=2,M261=23),(Main!$B$18-Current_limit!O261)*Current_limit!O261/(Main!$B$18*loop_gain!$B$17*(Helper_calcs!$B$14-Helper_calcs!$B$15)),x)))</f>
        <v>2100000</v>
      </c>
      <c r="Q261" s="161"/>
    </row>
    <row r="262" spans="1:17" x14ac:dyDescent="0.25">
      <c r="A262">
        <f t="shared" si="32"/>
        <v>3.2099999999999751</v>
      </c>
      <c r="B262">
        <f>Main!$B$19/A262</f>
        <v>1.5576323987539062</v>
      </c>
      <c r="D262" s="161">
        <f t="shared" si="25"/>
        <v>1.5576323987539062</v>
      </c>
      <c r="E262" s="161">
        <f>-B262*Main!$B$18-2*Main!$B$18*loop_gain!$B$17*loop_gain!$B$18</f>
        <v>-185.01158878504685</v>
      </c>
      <c r="F262" s="161">
        <f>2*Main!$B$18*loop_gain!$B$17*loop_gain!$B$18*Helper_calcs!$B$14*Current_limit!B262</f>
        <v>1010.3551401869237</v>
      </c>
      <c r="G262" s="161">
        <f t="shared" si="27"/>
        <v>5.7382580892354706</v>
      </c>
      <c r="H262" s="161">
        <f>(Main!$B$18-Current_limit!G262)*Current_limit!G262/(Main!$B$18*loop_gain!$B$17*loop_gain!$B$18)</f>
        <v>0.43207661342170922</v>
      </c>
      <c r="I262" s="161">
        <f t="shared" si="28"/>
        <v>3.4679233865782888</v>
      </c>
      <c r="J262" s="161"/>
      <c r="K262" s="163">
        <f>IF(A262&gt;$B$15,IF(I262&gt;Helper_calcs!$B$15,23,3),0)</f>
        <v>0</v>
      </c>
      <c r="L262" s="162">
        <f t="shared" si="26"/>
        <v>0</v>
      </c>
      <c r="M262" s="162">
        <f t="shared" si="29"/>
        <v>0</v>
      </c>
      <c r="N262" s="161">
        <f t="shared" si="30"/>
        <v>3.2099999999999751</v>
      </c>
      <c r="O262" s="161">
        <f t="shared" si="31"/>
        <v>5</v>
      </c>
      <c r="P262" s="149">
        <f>IF(OR(M262=0,M262=3),loop_gain!$B$18,IF(Current_limit!M262=1,Current_limit!$B$12/(2*(Current_limit!N262-Helper_calcs!$B$15)),IF(OR(M262=2,M262=23),(Main!$B$18-Current_limit!O262)*Current_limit!O262/(Main!$B$18*loop_gain!$B$17*(Helper_calcs!$B$14-Helper_calcs!$B$15)),x)))</f>
        <v>2100000</v>
      </c>
      <c r="Q262" s="161"/>
    </row>
    <row r="263" spans="1:17" x14ac:dyDescent="0.25">
      <c r="A263">
        <f t="shared" si="32"/>
        <v>3.2199999999999749</v>
      </c>
      <c r="B263">
        <f>Main!$B$19/A263</f>
        <v>1.5527950310559127</v>
      </c>
      <c r="D263" s="161">
        <f t="shared" si="25"/>
        <v>1.5527950310559127</v>
      </c>
      <c r="E263" s="161">
        <f>-B263*Main!$B$18-2*Main!$B$18*loop_gain!$B$17*loop_gain!$B$18</f>
        <v>-184.95354037267094</v>
      </c>
      <c r="F263" s="161">
        <f>2*Main!$B$18*loop_gain!$B$17*loop_gain!$B$18*Helper_calcs!$B$14*Current_limit!B263</f>
        <v>1007.2173913043555</v>
      </c>
      <c r="G263" s="161">
        <f t="shared" si="27"/>
        <v>5.7205270050671402</v>
      </c>
      <c r="H263" s="161">
        <f>(Main!$B$18-Current_limit!G263)*Current_limit!G263/(Main!$B$18*loop_gain!$B$17*loop_gain!$B$18)</f>
        <v>0.43196121747358418</v>
      </c>
      <c r="I263" s="161">
        <f t="shared" si="28"/>
        <v>3.4680387825264174</v>
      </c>
      <c r="J263" s="161"/>
      <c r="K263" s="163">
        <f>IF(A263&gt;$B$15,IF(I263&gt;Helper_calcs!$B$15,23,3),0)</f>
        <v>0</v>
      </c>
      <c r="L263" s="162">
        <f t="shared" si="26"/>
        <v>0</v>
      </c>
      <c r="M263" s="162">
        <f t="shared" si="29"/>
        <v>0</v>
      </c>
      <c r="N263" s="161">
        <f t="shared" si="30"/>
        <v>3.2199999999999749</v>
      </c>
      <c r="O263" s="161">
        <f t="shared" si="31"/>
        <v>5</v>
      </c>
      <c r="P263" s="149">
        <f>IF(OR(M263=0,M263=3),loop_gain!$B$18,IF(Current_limit!M263=1,Current_limit!$B$12/(2*(Current_limit!N263-Helper_calcs!$B$15)),IF(OR(M263=2,M263=23),(Main!$B$18-Current_limit!O263)*Current_limit!O263/(Main!$B$18*loop_gain!$B$17*(Helper_calcs!$B$14-Helper_calcs!$B$15)),x)))</f>
        <v>2100000</v>
      </c>
      <c r="Q263" s="161"/>
    </row>
    <row r="264" spans="1:17" x14ac:dyDescent="0.25">
      <c r="A264">
        <f t="shared" si="32"/>
        <v>3.2299999999999747</v>
      </c>
      <c r="B264">
        <f>Main!$B$19/A264</f>
        <v>1.5479876160990833</v>
      </c>
      <c r="D264" s="161">
        <f t="shared" si="25"/>
        <v>1.5479876160990833</v>
      </c>
      <c r="E264" s="161">
        <f>-B264*Main!$B$18-2*Main!$B$18*loop_gain!$B$17*loop_gain!$B$18</f>
        <v>-184.89585139318899</v>
      </c>
      <c r="F264" s="161">
        <f>2*Main!$B$18*loop_gain!$B$17*loop_gain!$B$18*Helper_calcs!$B$14*Current_limit!B264</f>
        <v>1004.0990712074381</v>
      </c>
      <c r="G264" s="161">
        <f t="shared" si="27"/>
        <v>5.7029109270249858</v>
      </c>
      <c r="H264" s="161">
        <f>(Main!$B$18-Current_limit!G264)*Current_limit!G264/(Main!$B$18*loop_gain!$B$17*loop_gain!$B$18)</f>
        <v>0.43183908228377643</v>
      </c>
      <c r="I264" s="161">
        <f t="shared" si="28"/>
        <v>3.468160917716224</v>
      </c>
      <c r="J264" s="161"/>
      <c r="K264" s="163">
        <f>IF(A264&gt;$B$15,IF(I264&gt;Helper_calcs!$B$15,23,3),0)</f>
        <v>0</v>
      </c>
      <c r="L264" s="162">
        <f t="shared" si="26"/>
        <v>0</v>
      </c>
      <c r="M264" s="162">
        <f t="shared" si="29"/>
        <v>0</v>
      </c>
      <c r="N264" s="161">
        <f t="shared" si="30"/>
        <v>3.2299999999999747</v>
      </c>
      <c r="O264" s="161">
        <f t="shared" si="31"/>
        <v>5</v>
      </c>
      <c r="P264" s="149">
        <f>IF(OR(M264=0,M264=3),loop_gain!$B$18,IF(Current_limit!M264=1,Current_limit!$B$12/(2*(Current_limit!N264-Helper_calcs!$B$15)),IF(OR(M264=2,M264=23),(Main!$B$18-Current_limit!O264)*Current_limit!O264/(Main!$B$18*loop_gain!$B$17*(Helper_calcs!$B$14-Helper_calcs!$B$15)),x)))</f>
        <v>2100000</v>
      </c>
      <c r="Q264" s="161"/>
    </row>
    <row r="265" spans="1:17" x14ac:dyDescent="0.25">
      <c r="A265">
        <f t="shared" si="32"/>
        <v>3.2399999999999745</v>
      </c>
      <c r="B265">
        <f>Main!$B$19/A265</f>
        <v>1.5432098765432221</v>
      </c>
      <c r="D265" s="161">
        <f t="shared" si="25"/>
        <v>1.5432098765432221</v>
      </c>
      <c r="E265" s="161">
        <f>-B265*Main!$B$18-2*Main!$B$18*loop_gain!$B$17*loop_gain!$B$18</f>
        <v>-184.83851851851867</v>
      </c>
      <c r="F265" s="161">
        <f>2*Main!$B$18*loop_gain!$B$17*loop_gain!$B$18*Helper_calcs!$B$14*Current_limit!B265</f>
        <v>1001.0000000000077</v>
      </c>
      <c r="G265" s="161">
        <f t="shared" si="27"/>
        <v>5.6854086842848641</v>
      </c>
      <c r="H265" s="161">
        <f>(Main!$B$18-Current_limit!G265)*Current_limit!G265/(Main!$B$18*loop_gain!$B$17*loop_gain!$B$18)</f>
        <v>0.43171034516686657</v>
      </c>
      <c r="I265" s="161">
        <f t="shared" si="28"/>
        <v>3.4682896548331295</v>
      </c>
      <c r="J265" s="161"/>
      <c r="K265" s="163">
        <f>IF(A265&gt;$B$15,IF(I265&gt;Helper_calcs!$B$15,23,3),0)</f>
        <v>0</v>
      </c>
      <c r="L265" s="162">
        <f t="shared" si="26"/>
        <v>0</v>
      </c>
      <c r="M265" s="162">
        <f t="shared" si="29"/>
        <v>0</v>
      </c>
      <c r="N265" s="161">
        <f t="shared" si="30"/>
        <v>3.2399999999999745</v>
      </c>
      <c r="O265" s="161">
        <f t="shared" si="31"/>
        <v>5</v>
      </c>
      <c r="P265" s="149">
        <f>IF(OR(M265=0,M265=3),loop_gain!$B$18,IF(Current_limit!M265=1,Current_limit!$B$12/(2*(Current_limit!N265-Helper_calcs!$B$15)),IF(OR(M265=2,M265=23),(Main!$B$18-Current_limit!O265)*Current_limit!O265/(Main!$B$18*loop_gain!$B$17*(Helper_calcs!$B$14-Helper_calcs!$B$15)),x)))</f>
        <v>2100000</v>
      </c>
      <c r="Q265" s="161"/>
    </row>
    <row r="266" spans="1:17" x14ac:dyDescent="0.25">
      <c r="A266">
        <f t="shared" si="32"/>
        <v>3.2499999999999742</v>
      </c>
      <c r="B266">
        <f>Main!$B$19/A266</f>
        <v>1.5384615384615508</v>
      </c>
      <c r="D266" s="161">
        <f t="shared" si="25"/>
        <v>1.5384615384615508</v>
      </c>
      <c r="E266" s="161">
        <f>-B266*Main!$B$18-2*Main!$B$18*loop_gain!$B$17*loop_gain!$B$18</f>
        <v>-184.78153846153862</v>
      </c>
      <c r="F266" s="161">
        <f>2*Main!$B$18*loop_gain!$B$17*loop_gain!$B$18*Helper_calcs!$B$14*Current_limit!B266</f>
        <v>997.9200000000078</v>
      </c>
      <c r="G266" s="161">
        <f t="shared" si="27"/>
        <v>5.6680191225717174</v>
      </c>
      <c r="H266" s="161">
        <f>(Main!$B$18-Current_limit!G266)*Current_limit!G266/(Main!$B$18*loop_gain!$B$17*loop_gain!$B$18)</f>
        <v>0.43157514065682961</v>
      </c>
      <c r="I266" s="161">
        <f t="shared" si="28"/>
        <v>3.4684248593431719</v>
      </c>
      <c r="J266" s="161"/>
      <c r="K266" s="163">
        <f>IF(A266&gt;$B$15,IF(I266&gt;Helper_calcs!$B$15,23,3),0)</f>
        <v>0</v>
      </c>
      <c r="L266" s="162">
        <f t="shared" si="26"/>
        <v>0</v>
      </c>
      <c r="M266" s="162">
        <f t="shared" si="29"/>
        <v>0</v>
      </c>
      <c r="N266" s="161">
        <f t="shared" si="30"/>
        <v>3.2499999999999742</v>
      </c>
      <c r="O266" s="161">
        <f t="shared" si="31"/>
        <v>5</v>
      </c>
      <c r="P266" s="149">
        <f>IF(OR(M266=0,M266=3),loop_gain!$B$18,IF(Current_limit!M266=1,Current_limit!$B$12/(2*(Current_limit!N266-Helper_calcs!$B$15)),IF(OR(M266=2,M266=23),(Main!$B$18-Current_limit!O266)*Current_limit!O266/(Main!$B$18*loop_gain!$B$17*(Helper_calcs!$B$14-Helper_calcs!$B$15)),x)))</f>
        <v>2100000</v>
      </c>
      <c r="Q266" s="161"/>
    </row>
    <row r="267" spans="1:17" x14ac:dyDescent="0.25">
      <c r="A267">
        <f t="shared" si="32"/>
        <v>3.259999999999974</v>
      </c>
      <c r="B267">
        <f>Main!$B$19/A267</f>
        <v>1.5337423312883558</v>
      </c>
      <c r="D267" s="161">
        <f t="shared" si="25"/>
        <v>1.5337423312883558</v>
      </c>
      <c r="E267" s="161">
        <f>-B267*Main!$B$18-2*Main!$B$18*loop_gain!$B$17*loop_gain!$B$18</f>
        <v>-184.72490797546027</v>
      </c>
      <c r="F267" s="161">
        <f>2*Main!$B$18*loop_gain!$B$17*loop_gain!$B$18*Helper_calcs!$B$14*Current_limit!B267</f>
        <v>994.85889570552922</v>
      </c>
      <c r="G267" s="161">
        <f t="shared" si="27"/>
        <v>5.6507411038568156</v>
      </c>
      <c r="H267" s="161">
        <f>(Main!$B$18-Current_limit!G267)*Current_limit!G267/(Main!$B$18*loop_gain!$B$17*loop_gain!$B$18)</f>
        <v>0.4314336005707653</v>
      </c>
      <c r="I267" s="161">
        <f t="shared" si="28"/>
        <v>3.468566399429232</v>
      </c>
      <c r="J267" s="161"/>
      <c r="K267" s="163">
        <f>IF(A267&gt;$B$15,IF(I267&gt;Helper_calcs!$B$15,23,3),0)</f>
        <v>0</v>
      </c>
      <c r="L267" s="162">
        <f t="shared" si="26"/>
        <v>0</v>
      </c>
      <c r="M267" s="162">
        <f t="shared" si="29"/>
        <v>0</v>
      </c>
      <c r="N267" s="161">
        <f t="shared" si="30"/>
        <v>3.259999999999974</v>
      </c>
      <c r="O267" s="161">
        <f t="shared" si="31"/>
        <v>5</v>
      </c>
      <c r="P267" s="149">
        <f>IF(OR(M267=0,M267=3),loop_gain!$B$18,IF(Current_limit!M267=1,Current_limit!$B$12/(2*(Current_limit!N267-Helper_calcs!$B$15)),IF(OR(M267=2,M267=23),(Main!$B$18-Current_limit!O267)*Current_limit!O267/(Main!$B$18*loop_gain!$B$17*(Helper_calcs!$B$14-Helper_calcs!$B$15)),x)))</f>
        <v>2100000</v>
      </c>
      <c r="Q267" s="161"/>
    </row>
    <row r="268" spans="1:17" x14ac:dyDescent="0.25">
      <c r="A268">
        <f t="shared" si="32"/>
        <v>3.2699999999999738</v>
      </c>
      <c r="B268">
        <f>Main!$B$19/A268</f>
        <v>1.5290519877675963</v>
      </c>
      <c r="D268" s="161">
        <f t="shared" si="25"/>
        <v>1.5290519877675963</v>
      </c>
      <c r="E268" s="161">
        <f>-B268*Main!$B$18-2*Main!$B$18*loop_gain!$B$17*loop_gain!$B$18</f>
        <v>-184.66862385321116</v>
      </c>
      <c r="F268" s="161">
        <f>2*Main!$B$18*loop_gain!$B$17*loop_gain!$B$18*Helper_calcs!$B$14*Current_limit!B268</f>
        <v>991.81651376147568</v>
      </c>
      <c r="G268" s="161">
        <f t="shared" si="27"/>
        <v>5.6335735060620076</v>
      </c>
      <c r="H268" s="161">
        <f>(Main!$B$18-Current_limit!G268)*Current_limit!G268/(Main!$B$18*loop_gain!$B$17*loop_gain!$B$18)</f>
        <v>0.43128585407095132</v>
      </c>
      <c r="I268" s="161">
        <f t="shared" si="28"/>
        <v>3.4687141459290478</v>
      </c>
      <c r="J268" s="161"/>
      <c r="K268" s="163">
        <f>IF(A268&gt;$B$15,IF(I268&gt;Helper_calcs!$B$15,23,3),0)</f>
        <v>0</v>
      </c>
      <c r="L268" s="162">
        <f t="shared" si="26"/>
        <v>0</v>
      </c>
      <c r="M268" s="162">
        <f t="shared" si="29"/>
        <v>0</v>
      </c>
      <c r="N268" s="161">
        <f t="shared" si="30"/>
        <v>3.2699999999999738</v>
      </c>
      <c r="O268" s="161">
        <f t="shared" si="31"/>
        <v>5</v>
      </c>
      <c r="P268" s="149">
        <f>IF(OR(M268=0,M268=3),loop_gain!$B$18,IF(Current_limit!M268=1,Current_limit!$B$12/(2*(Current_limit!N268-Helper_calcs!$B$15)),IF(OR(M268=2,M268=23),(Main!$B$18-Current_limit!O268)*Current_limit!O268/(Main!$B$18*loop_gain!$B$17*(Helper_calcs!$B$14-Helper_calcs!$B$15)),x)))</f>
        <v>2100000</v>
      </c>
      <c r="Q268" s="161"/>
    </row>
    <row r="269" spans="1:17" x14ac:dyDescent="0.25">
      <c r="A269">
        <f t="shared" si="32"/>
        <v>3.2799999999999736</v>
      </c>
      <c r="B269">
        <f>Main!$B$19/A269</f>
        <v>1.5243902439024513</v>
      </c>
      <c r="D269" s="161">
        <f t="shared" si="25"/>
        <v>1.5243902439024513</v>
      </c>
      <c r="E269" s="161">
        <f>-B269*Main!$B$18-2*Main!$B$18*loop_gain!$B$17*loop_gain!$B$18</f>
        <v>-184.61268292682939</v>
      </c>
      <c r="F269" s="161">
        <f>2*Main!$B$18*loop_gain!$B$17*loop_gain!$B$18*Helper_calcs!$B$14*Current_limit!B269</f>
        <v>988.79268292683707</v>
      </c>
      <c r="G269" s="161">
        <f t="shared" si="27"/>
        <v>5.6165152227704231</v>
      </c>
      <c r="H269" s="161">
        <f>(Main!$B$18-Current_limit!G269)*Current_limit!G269/(Main!$B$18*loop_gain!$B$17*loop_gain!$B$18)</f>
        <v>0.43113202772526676</v>
      </c>
      <c r="I269" s="161">
        <f t="shared" si="28"/>
        <v>3.4688679722747349</v>
      </c>
      <c r="J269" s="161"/>
      <c r="K269" s="163">
        <f>IF(A269&gt;$B$15,IF(I269&gt;Helper_calcs!$B$15,23,3),0)</f>
        <v>0</v>
      </c>
      <c r="L269" s="162">
        <f t="shared" si="26"/>
        <v>0</v>
      </c>
      <c r="M269" s="162">
        <f t="shared" si="29"/>
        <v>0</v>
      </c>
      <c r="N269" s="161">
        <f t="shared" si="30"/>
        <v>3.2799999999999736</v>
      </c>
      <c r="O269" s="161">
        <f t="shared" si="31"/>
        <v>5</v>
      </c>
      <c r="P269" s="149">
        <f>IF(OR(M269=0,M269=3),loop_gain!$B$18,IF(Current_limit!M269=1,Current_limit!$B$12/(2*(Current_limit!N269-Helper_calcs!$B$15)),IF(OR(M269=2,M269=23),(Main!$B$18-Current_limit!O269)*Current_limit!O269/(Main!$B$18*loop_gain!$B$17*(Helper_calcs!$B$14-Helper_calcs!$B$15)),x)))</f>
        <v>2100000</v>
      </c>
      <c r="Q269" s="161"/>
    </row>
    <row r="270" spans="1:17" x14ac:dyDescent="0.25">
      <c r="A270">
        <f t="shared" si="32"/>
        <v>3.2899999999999734</v>
      </c>
      <c r="B270">
        <f>Main!$B$19/A270</f>
        <v>1.5197568389057874</v>
      </c>
      <c r="D270" s="161">
        <f t="shared" si="25"/>
        <v>1.5197568389057874</v>
      </c>
      <c r="E270" s="161">
        <f>-B270*Main!$B$18-2*Main!$B$18*loop_gain!$B$17*loop_gain!$B$18</f>
        <v>-184.55708206686944</v>
      </c>
      <c r="F270" s="161">
        <f>2*Main!$B$18*loop_gain!$B$17*loop_gain!$B$18*Helper_calcs!$B$14*Current_limit!B270</f>
        <v>985.78723404256107</v>
      </c>
      <c r="G270" s="161">
        <f t="shared" si="27"/>
        <v>5.5995651629437804</v>
      </c>
      <c r="H270" s="161">
        <f>(Main!$B$18-Current_limit!G270)*Current_limit!G270/(Main!$B$18*loop_gain!$B$17*loop_gain!$B$18)</f>
        <v>0.43097224556603853</v>
      </c>
      <c r="I270" s="161">
        <f t="shared" si="28"/>
        <v>3.4690277544339585</v>
      </c>
      <c r="J270" s="161"/>
      <c r="K270" s="163">
        <f>IF(A270&gt;$B$15,IF(I270&gt;Helper_calcs!$B$15,23,3),0)</f>
        <v>0</v>
      </c>
      <c r="L270" s="162">
        <f t="shared" si="26"/>
        <v>0</v>
      </c>
      <c r="M270" s="162">
        <f t="shared" si="29"/>
        <v>0</v>
      </c>
      <c r="N270" s="161">
        <f t="shared" si="30"/>
        <v>3.2899999999999734</v>
      </c>
      <c r="O270" s="161">
        <f t="shared" si="31"/>
        <v>5</v>
      </c>
      <c r="P270" s="149">
        <f>IF(OR(M270=0,M270=3),loop_gain!$B$18,IF(Current_limit!M270=1,Current_limit!$B$12/(2*(Current_limit!N270-Helper_calcs!$B$15)),IF(OR(M270=2,M270=23),(Main!$B$18-Current_limit!O270)*Current_limit!O270/(Main!$B$18*loop_gain!$B$17*(Helper_calcs!$B$14-Helper_calcs!$B$15)),x)))</f>
        <v>2100000</v>
      </c>
      <c r="Q270" s="161"/>
    </row>
    <row r="271" spans="1:17" x14ac:dyDescent="0.25">
      <c r="A271">
        <f t="shared" si="32"/>
        <v>3.2999999999999732</v>
      </c>
      <c r="B271">
        <f>Main!$B$19/A271</f>
        <v>1.5151515151515276</v>
      </c>
      <c r="D271" s="161">
        <f t="shared" si="25"/>
        <v>1.5151515151515276</v>
      </c>
      <c r="E271" s="161">
        <f>-B271*Main!$B$18-2*Main!$B$18*loop_gain!$B$17*loop_gain!$B$18</f>
        <v>-184.50181818181832</v>
      </c>
      <c r="F271" s="161">
        <f>2*Main!$B$18*loop_gain!$B$17*loop_gain!$B$18*Helper_calcs!$B$14*Current_limit!B271</f>
        <v>982.80000000000791</v>
      </c>
      <c r="G271" s="161">
        <f t="shared" si="27"/>
        <v>5.582722250645995</v>
      </c>
      <c r="H271" s="161">
        <f>(Main!$B$18-Current_limit!G271)*Current_limit!G271/(Main!$B$18*loop_gain!$B$17*loop_gain!$B$18)</f>
        <v>0.43080662914735518</v>
      </c>
      <c r="I271" s="161">
        <f t="shared" si="28"/>
        <v>3.4691933708526488</v>
      </c>
      <c r="J271" s="161"/>
      <c r="K271" s="163">
        <f>IF(A271&gt;$B$15,IF(I271&gt;Helper_calcs!$B$15,23,3),0)</f>
        <v>0</v>
      </c>
      <c r="L271" s="162">
        <f t="shared" si="26"/>
        <v>0</v>
      </c>
      <c r="M271" s="162">
        <f t="shared" si="29"/>
        <v>0</v>
      </c>
      <c r="N271" s="161">
        <f t="shared" si="30"/>
        <v>3.2999999999999732</v>
      </c>
      <c r="O271" s="161">
        <f t="shared" si="31"/>
        <v>5</v>
      </c>
      <c r="P271" s="149">
        <f>IF(OR(M271=0,M271=3),loop_gain!$B$18,IF(Current_limit!M271=1,Current_limit!$B$12/(2*(Current_limit!N271-Helper_calcs!$B$15)),IF(OR(M271=2,M271=23),(Main!$B$18-Current_limit!O271)*Current_limit!O271/(Main!$B$18*loop_gain!$B$17*(Helper_calcs!$B$14-Helper_calcs!$B$15)),x)))</f>
        <v>2100000</v>
      </c>
      <c r="Q271" s="161"/>
    </row>
    <row r="272" spans="1:17" x14ac:dyDescent="0.25">
      <c r="A272">
        <f t="shared" si="32"/>
        <v>3.309999999999973</v>
      </c>
      <c r="B272">
        <f>Main!$B$19/A272</f>
        <v>1.5105740181269005</v>
      </c>
      <c r="D272" s="161">
        <f t="shared" si="25"/>
        <v>1.5105740181269005</v>
      </c>
      <c r="E272" s="161">
        <f>-B272*Main!$B$18-2*Main!$B$18*loop_gain!$B$17*loop_gain!$B$18</f>
        <v>-184.4468882175228</v>
      </c>
      <c r="F272" s="161">
        <f>2*Main!$B$18*loop_gain!$B$17*loop_gain!$B$18*Helper_calcs!$B$14*Current_limit!B272</f>
        <v>979.83081570997763</v>
      </c>
      <c r="G272" s="161">
        <f t="shared" si="27"/>
        <v>5.5659854247727791</v>
      </c>
      <c r="H272" s="161">
        <f>(Main!$B$18-Current_limit!G272)*Current_limit!G272/(Main!$B$18*loop_gain!$B$17*loop_gain!$B$18)</f>
        <v>0.43063529760089392</v>
      </c>
      <c r="I272" s="161">
        <f t="shared" si="28"/>
        <v>3.469364702399103</v>
      </c>
      <c r="J272" s="161"/>
      <c r="K272" s="163">
        <f>IF(A272&gt;$B$15,IF(I272&gt;Helper_calcs!$B$15,23,3),0)</f>
        <v>0</v>
      </c>
      <c r="L272" s="162">
        <f t="shared" si="26"/>
        <v>0</v>
      </c>
      <c r="M272" s="162">
        <f t="shared" si="29"/>
        <v>0</v>
      </c>
      <c r="N272" s="161">
        <f t="shared" si="30"/>
        <v>3.309999999999973</v>
      </c>
      <c r="O272" s="161">
        <f t="shared" si="31"/>
        <v>5</v>
      </c>
      <c r="P272" s="149">
        <f>IF(OR(M272=0,M272=3),loop_gain!$B$18,IF(Current_limit!M272=1,Current_limit!$B$12/(2*(Current_limit!N272-Helper_calcs!$B$15)),IF(OR(M272=2,M272=23),(Main!$B$18-Current_limit!O272)*Current_limit!O272/(Main!$B$18*loop_gain!$B$17*(Helper_calcs!$B$14-Helper_calcs!$B$15)),x)))</f>
        <v>2100000</v>
      </c>
      <c r="Q272" s="161"/>
    </row>
    <row r="273" spans="1:17" x14ac:dyDescent="0.25">
      <c r="A273">
        <f t="shared" si="32"/>
        <v>3.3199999999999728</v>
      </c>
      <c r="B273">
        <f>Main!$B$19/A273</f>
        <v>1.5060240963855545</v>
      </c>
      <c r="D273" s="161">
        <f t="shared" si="25"/>
        <v>1.5060240963855545</v>
      </c>
      <c r="E273" s="161">
        <f>-B273*Main!$B$18-2*Main!$B$18*loop_gain!$B$17*loop_gain!$B$18</f>
        <v>-184.39228915662665</v>
      </c>
      <c r="F273" s="161">
        <f>2*Main!$B$18*loop_gain!$B$17*loop_gain!$B$18*Helper_calcs!$B$14*Current_limit!B273</f>
        <v>976.87951807229695</v>
      </c>
      <c r="G273" s="161">
        <f t="shared" si="27"/>
        <v>5.5493536387874691</v>
      </c>
      <c r="H273" s="161">
        <f>(Main!$B$18-Current_limit!G273)*Current_limit!G273/(Main!$B$18*loop_gain!$B$17*loop_gain!$B$18)</f>
        <v>0.43045836769030671</v>
      </c>
      <c r="I273" s="161">
        <f t="shared" si="28"/>
        <v>3.4695416323096961</v>
      </c>
      <c r="J273" s="161"/>
      <c r="K273" s="163">
        <f>IF(A273&gt;$B$15,IF(I273&gt;Helper_calcs!$B$15,23,3),0)</f>
        <v>0</v>
      </c>
      <c r="L273" s="162">
        <f t="shared" si="26"/>
        <v>0</v>
      </c>
      <c r="M273" s="162">
        <f t="shared" si="29"/>
        <v>0</v>
      </c>
      <c r="N273" s="161">
        <f t="shared" si="30"/>
        <v>3.3199999999999728</v>
      </c>
      <c r="O273" s="161">
        <f t="shared" si="31"/>
        <v>5</v>
      </c>
      <c r="P273" s="149">
        <f>IF(OR(M273=0,M273=3),loop_gain!$B$18,IF(Current_limit!M273=1,Current_limit!$B$12/(2*(Current_limit!N273-Helper_calcs!$B$15)),IF(OR(M273=2,M273=23),(Main!$B$18-Current_limit!O273)*Current_limit!O273/(Main!$B$18*loop_gain!$B$17*(Helper_calcs!$B$14-Helper_calcs!$B$15)),x)))</f>
        <v>2100000</v>
      </c>
      <c r="Q273" s="161"/>
    </row>
    <row r="274" spans="1:17" x14ac:dyDescent="0.25">
      <c r="A274">
        <f t="shared" si="32"/>
        <v>3.3299999999999725</v>
      </c>
      <c r="B274">
        <f>Main!$B$19/A274</f>
        <v>1.5015015015015138</v>
      </c>
      <c r="D274" s="161">
        <f t="shared" si="25"/>
        <v>1.5015015015015138</v>
      </c>
      <c r="E274" s="161">
        <f>-B274*Main!$B$18-2*Main!$B$18*loop_gain!$B$17*loop_gain!$B$18</f>
        <v>-184.33801801801815</v>
      </c>
      <c r="F274" s="161">
        <f>2*Main!$B$18*loop_gain!$B$17*loop_gain!$B$18*Helper_calcs!$B$14*Current_limit!B274</f>
        <v>973.94594594595378</v>
      </c>
      <c r="G274" s="161">
        <f t="shared" si="27"/>
        <v>5.5328258604623537</v>
      </c>
      <c r="H274" s="161">
        <f>(Main!$B$18-Current_limit!G274)*Current_limit!G274/(Main!$B$18*loop_gain!$B$17*loop_gain!$B$18)</f>
        <v>0.43027595386420464</v>
      </c>
      <c r="I274" s="161">
        <f t="shared" si="28"/>
        <v>3.469724046135795</v>
      </c>
      <c r="J274" s="161"/>
      <c r="K274" s="163">
        <f>IF(A274&gt;$B$15,IF(I274&gt;Helper_calcs!$B$15,23,3),0)</f>
        <v>0</v>
      </c>
      <c r="L274" s="162">
        <f t="shared" si="26"/>
        <v>0</v>
      </c>
      <c r="M274" s="162">
        <f t="shared" si="29"/>
        <v>0</v>
      </c>
      <c r="N274" s="161">
        <f t="shared" si="30"/>
        <v>3.3299999999999725</v>
      </c>
      <c r="O274" s="161">
        <f t="shared" si="31"/>
        <v>5</v>
      </c>
      <c r="P274" s="149">
        <f>IF(OR(M274=0,M274=3),loop_gain!$B$18,IF(Current_limit!M274=1,Current_limit!$B$12/(2*(Current_limit!N274-Helper_calcs!$B$15)),IF(OR(M274=2,M274=23),(Main!$B$18-Current_limit!O274)*Current_limit!O274/(Main!$B$18*loop_gain!$B$17*(Helper_calcs!$B$14-Helper_calcs!$B$15)),x)))</f>
        <v>2100000</v>
      </c>
      <c r="Q274" s="161"/>
    </row>
    <row r="275" spans="1:17" x14ac:dyDescent="0.25">
      <c r="A275">
        <f t="shared" si="32"/>
        <v>3.3399999999999723</v>
      </c>
      <c r="B275">
        <f>Main!$B$19/A275</f>
        <v>1.4970059880239646</v>
      </c>
      <c r="D275" s="161">
        <f t="shared" si="25"/>
        <v>1.4970059880239646</v>
      </c>
      <c r="E275" s="161">
        <f>-B275*Main!$B$18-2*Main!$B$18*loop_gain!$B$17*loop_gain!$B$18</f>
        <v>-184.28407185628757</v>
      </c>
      <c r="F275" s="161">
        <f>2*Main!$B$18*loop_gain!$B$17*loop_gain!$B$18*Helper_calcs!$B$14*Current_limit!B275</f>
        <v>971.02994011976841</v>
      </c>
      <c r="G275" s="161">
        <f t="shared" si="27"/>
        <v>5.5164010716259515</v>
      </c>
      <c r="H275" s="161">
        <f>(Main!$B$18-Current_limit!G275)*Current_limit!G275/(Main!$B$18*loop_gain!$B$17*loop_gain!$B$18)</f>
        <v>0.4300881683077859</v>
      </c>
      <c r="I275" s="161">
        <f t="shared" si="28"/>
        <v>3.4699118316922117</v>
      </c>
      <c r="J275" s="161"/>
      <c r="K275" s="163">
        <f>IF(A275&gt;$B$15,IF(I275&gt;Helper_calcs!$B$15,23,3),0)</f>
        <v>0</v>
      </c>
      <c r="L275" s="162">
        <f t="shared" si="26"/>
        <v>0</v>
      </c>
      <c r="M275" s="162">
        <f t="shared" si="29"/>
        <v>0</v>
      </c>
      <c r="N275" s="161">
        <f t="shared" si="30"/>
        <v>3.3399999999999723</v>
      </c>
      <c r="O275" s="161">
        <f t="shared" si="31"/>
        <v>5</v>
      </c>
      <c r="P275" s="149">
        <f>IF(OR(M275=0,M275=3),loop_gain!$B$18,IF(Current_limit!M275=1,Current_limit!$B$12/(2*(Current_limit!N275-Helper_calcs!$B$15)),IF(OR(M275=2,M275=23),(Main!$B$18-Current_limit!O275)*Current_limit!O275/(Main!$B$18*loop_gain!$B$17*(Helper_calcs!$B$14-Helper_calcs!$B$15)),x)))</f>
        <v>2100000</v>
      </c>
      <c r="Q275" s="161"/>
    </row>
    <row r="276" spans="1:17" x14ac:dyDescent="0.25">
      <c r="A276">
        <f t="shared" si="32"/>
        <v>3.3499999999999721</v>
      </c>
      <c r="B276">
        <f>Main!$B$19/A276</f>
        <v>1.4925373134328483</v>
      </c>
      <c r="D276" s="161">
        <f t="shared" si="25"/>
        <v>1.4925373134328483</v>
      </c>
      <c r="E276" s="161">
        <f>-B276*Main!$B$18-2*Main!$B$18*loop_gain!$B$17*loop_gain!$B$18</f>
        <v>-184.23044776119417</v>
      </c>
      <c r="F276" s="161">
        <f>2*Main!$B$18*loop_gain!$B$17*loop_gain!$B$18*Helper_calcs!$B$14*Current_limit!B276</f>
        <v>968.13134328359013</v>
      </c>
      <c r="G276" s="161">
        <f t="shared" si="27"/>
        <v>5.5000782679156055</v>
      </c>
      <c r="H276" s="161">
        <f>(Main!$B$18-Current_limit!G276)*Current_limit!G276/(Main!$B$18*loop_gain!$B$17*loop_gain!$B$18)</f>
        <v>0.42989512099314264</v>
      </c>
      <c r="I276" s="161">
        <f t="shared" si="28"/>
        <v>3.4701048790068536</v>
      </c>
      <c r="J276" s="161"/>
      <c r="K276" s="163">
        <f>IF(A276&gt;$B$15,IF(I276&gt;Helper_calcs!$B$15,23,3),0)</f>
        <v>0</v>
      </c>
      <c r="L276" s="162">
        <f t="shared" si="26"/>
        <v>0</v>
      </c>
      <c r="M276" s="162">
        <f t="shared" si="29"/>
        <v>0</v>
      </c>
      <c r="N276" s="161">
        <f t="shared" si="30"/>
        <v>3.3499999999999721</v>
      </c>
      <c r="O276" s="161">
        <f t="shared" si="31"/>
        <v>5</v>
      </c>
      <c r="P276" s="149">
        <f>IF(OR(M276=0,M276=3),loop_gain!$B$18,IF(Current_limit!M276=1,Current_limit!$B$12/(2*(Current_limit!N276-Helper_calcs!$B$15)),IF(OR(M276=2,M276=23),(Main!$B$18-Current_limit!O276)*Current_limit!O276/(Main!$B$18*loop_gain!$B$17*(Helper_calcs!$B$14-Helper_calcs!$B$15)),x)))</f>
        <v>2100000</v>
      </c>
      <c r="Q276" s="161"/>
    </row>
    <row r="277" spans="1:17" x14ac:dyDescent="0.25">
      <c r="A277">
        <f t="shared" si="32"/>
        <v>3.3599999999999719</v>
      </c>
      <c r="B277">
        <f>Main!$B$19/A277</f>
        <v>1.4880952380952506</v>
      </c>
      <c r="D277" s="161">
        <f t="shared" si="25"/>
        <v>1.4880952380952506</v>
      </c>
      <c r="E277" s="161">
        <f>-B277*Main!$B$18-2*Main!$B$18*loop_gain!$B$17*loop_gain!$B$18</f>
        <v>-184.177142857143</v>
      </c>
      <c r="F277" s="161">
        <f>2*Main!$B$18*loop_gain!$B$17*loop_gain!$B$18*Helper_calcs!$B$14*Current_limit!B277</f>
        <v>965.25000000000796</v>
      </c>
      <c r="G277" s="161">
        <f t="shared" si="27"/>
        <v>5.4838564585355476</v>
      </c>
      <c r="H277" s="161">
        <f>(Main!$B$18-Current_limit!G277)*Current_limit!G277/(Main!$B$18*loop_gain!$B$17*loop_gain!$B$18)</f>
        <v>0.42969691972828922</v>
      </c>
      <c r="I277" s="161">
        <f t="shared" si="28"/>
        <v>3.4703030802717127</v>
      </c>
      <c r="J277" s="161"/>
      <c r="K277" s="163">
        <f>IF(A277&gt;$B$15,IF(I277&gt;Helper_calcs!$B$15,23,3),0)</f>
        <v>0</v>
      </c>
      <c r="L277" s="162">
        <f t="shared" si="26"/>
        <v>0</v>
      </c>
      <c r="M277" s="162">
        <f t="shared" si="29"/>
        <v>0</v>
      </c>
      <c r="N277" s="161">
        <f t="shared" si="30"/>
        <v>3.3599999999999719</v>
      </c>
      <c r="O277" s="161">
        <f t="shared" si="31"/>
        <v>5</v>
      </c>
      <c r="P277" s="149">
        <f>IF(OR(M277=0,M277=3),loop_gain!$B$18,IF(Current_limit!M277=1,Current_limit!$B$12/(2*(Current_limit!N277-Helper_calcs!$B$15)),IF(OR(M277=2,M277=23),(Main!$B$18-Current_limit!O277)*Current_limit!O277/(Main!$B$18*loop_gain!$B$17*(Helper_calcs!$B$14-Helper_calcs!$B$15)),x)))</f>
        <v>2100000</v>
      </c>
      <c r="Q277" s="161"/>
    </row>
    <row r="278" spans="1:17" x14ac:dyDescent="0.25">
      <c r="A278">
        <f t="shared" si="32"/>
        <v>3.3699999999999717</v>
      </c>
      <c r="B278">
        <f>Main!$B$19/A278</f>
        <v>1.4836795252225643</v>
      </c>
      <c r="D278" s="161">
        <f t="shared" si="25"/>
        <v>1.4836795252225643</v>
      </c>
      <c r="E278" s="161">
        <f>-B278*Main!$B$18-2*Main!$B$18*loop_gain!$B$17*loop_gain!$B$18</f>
        <v>-184.12415430267077</v>
      </c>
      <c r="F278" s="161">
        <f>2*Main!$B$18*loop_gain!$B$17*loop_gain!$B$18*Helper_calcs!$B$14*Current_limit!B278</f>
        <v>962.38575667656573</v>
      </c>
      <c r="G278" s="161">
        <f t="shared" si="27"/>
        <v>5.467734666020112</v>
      </c>
      <c r="H278" s="161">
        <f>(Main!$B$18-Current_limit!G278)*Current_limit!G278/(Main!$B$18*loop_gain!$B$17*loop_gain!$B$18)</f>
        <v>0.42949367020494561</v>
      </c>
      <c r="I278" s="161">
        <f t="shared" si="28"/>
        <v>3.470506329795052</v>
      </c>
      <c r="J278" s="161"/>
      <c r="K278" s="163">
        <f>IF(A278&gt;$B$15,IF(I278&gt;Helper_calcs!$B$15,23,3),0)</f>
        <v>0</v>
      </c>
      <c r="L278" s="162">
        <f t="shared" si="26"/>
        <v>0</v>
      </c>
      <c r="M278" s="162">
        <f t="shared" si="29"/>
        <v>0</v>
      </c>
      <c r="N278" s="161">
        <f t="shared" si="30"/>
        <v>3.3699999999999717</v>
      </c>
      <c r="O278" s="161">
        <f t="shared" si="31"/>
        <v>5</v>
      </c>
      <c r="P278" s="149">
        <f>IF(OR(M278=0,M278=3),loop_gain!$B$18,IF(Current_limit!M278=1,Current_limit!$B$12/(2*(Current_limit!N278-Helper_calcs!$B$15)),IF(OR(M278=2,M278=23),(Main!$B$18-Current_limit!O278)*Current_limit!O278/(Main!$B$18*loop_gain!$B$17*(Helper_calcs!$B$14-Helper_calcs!$B$15)),x)))</f>
        <v>2100000</v>
      </c>
      <c r="Q278" s="161"/>
    </row>
    <row r="279" spans="1:17" x14ac:dyDescent="0.25">
      <c r="A279">
        <f t="shared" si="32"/>
        <v>3.3799999999999715</v>
      </c>
      <c r="B279">
        <f>Main!$B$19/A279</f>
        <v>1.4792899408284148</v>
      </c>
      <c r="D279" s="161">
        <f t="shared" ref="D279:D342" si="33">B279</f>
        <v>1.4792899408284148</v>
      </c>
      <c r="E279" s="161">
        <f>-B279*Main!$B$18-2*Main!$B$18*loop_gain!$B$17*loop_gain!$B$18</f>
        <v>-184.07147928994098</v>
      </c>
      <c r="F279" s="161">
        <f>2*Main!$B$18*loop_gain!$B$17*loop_gain!$B$18*Helper_calcs!$B$14*Current_limit!B279</f>
        <v>959.53846153846951</v>
      </c>
      <c r="G279" s="161">
        <f t="shared" si="27"/>
        <v>5.451711926002182</v>
      </c>
      <c r="H279" s="161">
        <f>(Main!$B$18-Current_limit!G279)*Current_limit!G279/(Main!$B$18*loop_gain!$B$17*loop_gain!$B$18)</f>
        <v>0.42928547604511502</v>
      </c>
      <c r="I279" s="161">
        <f t="shared" si="28"/>
        <v>3.4707145239548867</v>
      </c>
      <c r="J279" s="161"/>
      <c r="K279" s="163">
        <f>IF(A279&gt;$B$15,IF(I279&gt;Helper_calcs!$B$15,23,3),0)</f>
        <v>0</v>
      </c>
      <c r="L279" s="162">
        <f t="shared" ref="L279:L342" si="34">IF(A279&gt;$B$13,IF(A279&gt;$B$14,2,1),0)</f>
        <v>0</v>
      </c>
      <c r="M279" s="162">
        <f t="shared" si="29"/>
        <v>0</v>
      </c>
      <c r="N279" s="161">
        <f t="shared" si="30"/>
        <v>3.3799999999999715</v>
      </c>
      <c r="O279" s="161">
        <f t="shared" si="31"/>
        <v>5</v>
      </c>
      <c r="P279" s="149">
        <f>IF(OR(M279=0,M279=3),loop_gain!$B$18,IF(Current_limit!M279=1,Current_limit!$B$12/(2*(Current_limit!N279-Helper_calcs!$B$15)),IF(OR(M279=2,M279=23),(Main!$B$18-Current_limit!O279)*Current_limit!O279/(Main!$B$18*loop_gain!$B$17*(Helper_calcs!$B$14-Helper_calcs!$B$15)),x)))</f>
        <v>2100000</v>
      </c>
      <c r="Q279" s="161"/>
    </row>
    <row r="280" spans="1:17" x14ac:dyDescent="0.25">
      <c r="A280">
        <f t="shared" si="32"/>
        <v>3.3899999999999713</v>
      </c>
      <c r="B280">
        <f>Main!$B$19/A280</f>
        <v>1.4749262536873282</v>
      </c>
      <c r="D280" s="161">
        <f t="shared" si="33"/>
        <v>1.4749262536873282</v>
      </c>
      <c r="E280" s="161">
        <f>-B280*Main!$B$18-2*Main!$B$18*loop_gain!$B$17*loop_gain!$B$18</f>
        <v>-184.01911504424794</v>
      </c>
      <c r="F280" s="161">
        <f>2*Main!$B$18*loop_gain!$B$17*loop_gain!$B$18*Helper_calcs!$B$14*Current_limit!B280</f>
        <v>956.70796460177792</v>
      </c>
      <c r="G280" s="161">
        <f t="shared" ref="G280:G343" si="35">(-E280-SQRT(E280^2-4*D280*F280))/(2*D280)</f>
        <v>5.4357872869864101</v>
      </c>
      <c r="H280" s="161">
        <f>(Main!$B$18-Current_limit!G280)*Current_limit!G280/(Main!$B$18*loop_gain!$B$17*loop_gain!$B$18)</f>
        <v>0.42907243884648688</v>
      </c>
      <c r="I280" s="161">
        <f t="shared" ref="I280:I343" si="36">(G280/B280)-0.5*H280</f>
        <v>3.4709275611535113</v>
      </c>
      <c r="J280" s="161"/>
      <c r="K280" s="163">
        <f>IF(A280&gt;$B$15,IF(I280&gt;Helper_calcs!$B$15,23,3),0)</f>
        <v>0</v>
      </c>
      <c r="L280" s="162">
        <f t="shared" si="34"/>
        <v>0</v>
      </c>
      <c r="M280" s="162">
        <f t="shared" ref="M280:M343" si="37">IF($B$16="N",L280,K280)</f>
        <v>0</v>
      </c>
      <c r="N280" s="161">
        <f t="shared" ref="N280:N343" si="38">IF(OR(M280=0,M280=1),A280,IF(OR(M280=2,M280=23),$B$14,G280/B280))</f>
        <v>3.3899999999999713</v>
      </c>
      <c r="O280" s="161">
        <f t="shared" ref="O280:O343" si="39">N280*B280</f>
        <v>5</v>
      </c>
      <c r="P280" s="149">
        <f>IF(OR(M280=0,M280=3),loop_gain!$B$18,IF(Current_limit!M280=1,Current_limit!$B$12/(2*(Current_limit!N280-Helper_calcs!$B$15)),IF(OR(M280=2,M280=23),(Main!$B$18-Current_limit!O280)*Current_limit!O280/(Main!$B$18*loop_gain!$B$17*(Helper_calcs!$B$14-Helper_calcs!$B$15)),x)))</f>
        <v>2100000</v>
      </c>
      <c r="Q280" s="161"/>
    </row>
    <row r="281" spans="1:17" x14ac:dyDescent="0.25">
      <c r="A281">
        <f t="shared" si="32"/>
        <v>3.399999999999971</v>
      </c>
      <c r="B281">
        <f>Main!$B$19/A281</f>
        <v>1.4705882352941302</v>
      </c>
      <c r="D281" s="161">
        <f t="shared" si="33"/>
        <v>1.4705882352941302</v>
      </c>
      <c r="E281" s="161">
        <f>-B281*Main!$B$18-2*Main!$B$18*loop_gain!$B$17*loop_gain!$B$18</f>
        <v>-183.96705882352956</v>
      </c>
      <c r="F281" s="161">
        <f>2*Main!$B$18*loop_gain!$B$17*loop_gain!$B$18*Helper_calcs!$B$14*Current_limit!B281</f>
        <v>953.89411764706688</v>
      </c>
      <c r="G281" s="161">
        <f t="shared" si="35"/>
        <v>5.4199598101274686</v>
      </c>
      <c r="H281" s="161">
        <f>(Main!$B$18-Current_limit!G281)*Current_limit!G281/(Main!$B$18*loop_gain!$B$17*loop_gain!$B$18)</f>
        <v>0.42885465822670327</v>
      </c>
      <c r="I281" s="161">
        <f t="shared" si="36"/>
        <v>3.4711453417732954</v>
      </c>
      <c r="J281" s="161"/>
      <c r="K281" s="163">
        <f>IF(A281&gt;$B$15,IF(I281&gt;Helper_calcs!$B$15,23,3),0)</f>
        <v>0</v>
      </c>
      <c r="L281" s="162">
        <f t="shared" si="34"/>
        <v>0</v>
      </c>
      <c r="M281" s="162">
        <f t="shared" si="37"/>
        <v>0</v>
      </c>
      <c r="N281" s="161">
        <f t="shared" si="38"/>
        <v>3.399999999999971</v>
      </c>
      <c r="O281" s="161">
        <f t="shared" si="39"/>
        <v>5</v>
      </c>
      <c r="P281" s="149">
        <f>IF(OR(M281=0,M281=3),loop_gain!$B$18,IF(Current_limit!M281=1,Current_limit!$B$12/(2*(Current_limit!N281-Helper_calcs!$B$15)),IF(OR(M281=2,M281=23),(Main!$B$18-Current_limit!O281)*Current_limit!O281/(Main!$B$18*loop_gain!$B$17*(Helper_calcs!$B$14-Helper_calcs!$B$15)),x)))</f>
        <v>2100000</v>
      </c>
      <c r="Q281" s="161"/>
    </row>
    <row r="282" spans="1:17" x14ac:dyDescent="0.25">
      <c r="A282">
        <f t="shared" si="32"/>
        <v>3.4099999999999708</v>
      </c>
      <c r="B282">
        <f>Main!$B$19/A282</f>
        <v>1.4662756598240594</v>
      </c>
      <c r="D282" s="161">
        <f t="shared" si="33"/>
        <v>1.4662756598240594</v>
      </c>
      <c r="E282" s="161">
        <f>-B282*Main!$B$18-2*Main!$B$18*loop_gain!$B$17*loop_gain!$B$18</f>
        <v>-183.9153079178887</v>
      </c>
      <c r="F282" s="161">
        <f>2*Main!$B$18*loop_gain!$B$17*loop_gain!$B$18*Helper_calcs!$B$14*Current_limit!B282</f>
        <v>951.09677419355637</v>
      </c>
      <c r="G282" s="161">
        <f t="shared" si="35"/>
        <v>5.4042285690128606</v>
      </c>
      <c r="H282" s="161">
        <f>(Main!$B$18-Current_limit!G282)*Current_limit!G282/(Main!$B$18*loop_gain!$B$17*loop_gain!$B$18)</f>
        <v>0.42863223186651678</v>
      </c>
      <c r="I282" s="161">
        <f t="shared" si="36"/>
        <v>3.4713677681334811</v>
      </c>
      <c r="J282" s="161"/>
      <c r="K282" s="163">
        <f>IF(A282&gt;$B$15,IF(I282&gt;Helper_calcs!$B$15,23,3),0)</f>
        <v>0</v>
      </c>
      <c r="L282" s="162">
        <f t="shared" si="34"/>
        <v>0</v>
      </c>
      <c r="M282" s="162">
        <f t="shared" si="37"/>
        <v>0</v>
      </c>
      <c r="N282" s="161">
        <f t="shared" si="38"/>
        <v>3.4099999999999708</v>
      </c>
      <c r="O282" s="161">
        <f t="shared" si="39"/>
        <v>5</v>
      </c>
      <c r="P282" s="149">
        <f>IF(OR(M282=0,M282=3),loop_gain!$B$18,IF(Current_limit!M282=1,Current_limit!$B$12/(2*(Current_limit!N282-Helper_calcs!$B$15)),IF(OR(M282=2,M282=23),(Main!$B$18-Current_limit!O282)*Current_limit!O282/(Main!$B$18*loop_gain!$B$17*(Helper_calcs!$B$14-Helper_calcs!$B$15)),x)))</f>
        <v>2100000</v>
      </c>
      <c r="Q282" s="161"/>
    </row>
    <row r="283" spans="1:17" x14ac:dyDescent="0.25">
      <c r="A283">
        <f t="shared" si="32"/>
        <v>3.4199999999999706</v>
      </c>
      <c r="B283">
        <f>Main!$B$19/A283</f>
        <v>1.4619883040935797</v>
      </c>
      <c r="D283" s="161">
        <f t="shared" si="33"/>
        <v>1.4619883040935797</v>
      </c>
      <c r="E283" s="161">
        <f>-B283*Main!$B$18-2*Main!$B$18*loop_gain!$B$17*loop_gain!$B$18</f>
        <v>-183.86385964912296</v>
      </c>
      <c r="F283" s="161">
        <f>2*Main!$B$18*loop_gain!$B$17*loop_gain!$B$18*Helper_calcs!$B$14*Current_limit!B283</f>
        <v>948.31578947369212</v>
      </c>
      <c r="G283" s="161">
        <f t="shared" si="35"/>
        <v>5.3885926494504304</v>
      </c>
      <c r="H283" s="161">
        <f>(Main!$B$18-Current_limit!G283)*Current_limit!G283/(Main!$B$18*loop_gain!$B$17*loop_gain!$B$18)</f>
        <v>0.42840525555187536</v>
      </c>
      <c r="I283" s="161">
        <f t="shared" si="36"/>
        <v>3.4715947444481254</v>
      </c>
      <c r="J283" s="161"/>
      <c r="K283" s="163">
        <f>IF(A283&gt;$B$15,IF(I283&gt;Helper_calcs!$B$15,23,3),0)</f>
        <v>0</v>
      </c>
      <c r="L283" s="162">
        <f t="shared" si="34"/>
        <v>1</v>
      </c>
      <c r="M283" s="162">
        <f t="shared" si="37"/>
        <v>1</v>
      </c>
      <c r="N283" s="161">
        <f t="shared" si="38"/>
        <v>3.4199999999999706</v>
      </c>
      <c r="O283" s="161">
        <f t="shared" si="39"/>
        <v>5</v>
      </c>
      <c r="P283" s="149">
        <f>IF(OR(M283=0,M283=3),loop_gain!$B$18,IF(Current_limit!M283=1,Current_limit!$B$12/(2*(Current_limit!N283-Helper_calcs!$B$15)),IF(OR(M283=2,M283=23),(Main!$B$18-Current_limit!O283)*Current_limit!O283/(Main!$B$18*loop_gain!$B$17*(Helper_calcs!$B$14-Helper_calcs!$B$15)),x)))</f>
        <v>2008723.5996329605</v>
      </c>
      <c r="Q283" s="161"/>
    </row>
    <row r="284" spans="1:17" x14ac:dyDescent="0.25">
      <c r="A284">
        <f t="shared" si="32"/>
        <v>3.4299999999999704</v>
      </c>
      <c r="B284">
        <f>Main!$B$19/A284</f>
        <v>1.4577259475218785</v>
      </c>
      <c r="D284" s="161">
        <f t="shared" si="33"/>
        <v>1.4577259475218785</v>
      </c>
      <c r="E284" s="161">
        <f>-B284*Main!$B$18-2*Main!$B$18*loop_gain!$B$17*loop_gain!$B$18</f>
        <v>-183.81271137026255</v>
      </c>
      <c r="F284" s="161">
        <f>2*Main!$B$18*loop_gain!$B$17*loop_gain!$B$18*Helper_calcs!$B$14*Current_limit!B284</f>
        <v>945.55102040817133</v>
      </c>
      <c r="G284" s="161">
        <f t="shared" si="35"/>
        <v>5.3730511492602799</v>
      </c>
      <c r="H284" s="161">
        <f>(Main!$B$18-Current_limit!G284)*Current_limit!G284/(Main!$B$18*loop_gain!$B$17*loop_gain!$B$18)</f>
        <v>0.42817382321496089</v>
      </c>
      <c r="I284" s="161">
        <f t="shared" si="36"/>
        <v>3.4718261767850396</v>
      </c>
      <c r="J284" s="161"/>
      <c r="K284" s="163">
        <f>IF(A284&gt;$B$15,IF(I284&gt;Helper_calcs!$B$15,23,3),0)</f>
        <v>0</v>
      </c>
      <c r="L284" s="162">
        <f t="shared" si="34"/>
        <v>1</v>
      </c>
      <c r="M284" s="162">
        <f t="shared" si="37"/>
        <v>1</v>
      </c>
      <c r="N284" s="161">
        <f t="shared" si="38"/>
        <v>3.4299999999999704</v>
      </c>
      <c r="O284" s="161">
        <f t="shared" si="39"/>
        <v>5</v>
      </c>
      <c r="P284" s="149">
        <f>IF(OR(M284=0,M284=3),loop_gain!$B$18,IF(Current_limit!M284=1,Current_limit!$B$12/(2*(Current_limit!N284-Helper_calcs!$B$15)),IF(OR(M284=2,M284=23),(Main!$B$18-Current_limit!O284)*Current_limit!O284/(Main!$B$18*loop_gain!$B$17*(Helper_calcs!$B$14-Helper_calcs!$B$15)),x)))</f>
        <v>1921387.7909532571</v>
      </c>
      <c r="Q284" s="161"/>
    </row>
    <row r="285" spans="1:17" x14ac:dyDescent="0.25">
      <c r="A285">
        <f t="shared" si="32"/>
        <v>3.4399999999999702</v>
      </c>
      <c r="B285">
        <f>Main!$B$19/A285</f>
        <v>1.4534883720930358</v>
      </c>
      <c r="D285" s="161">
        <f t="shared" si="33"/>
        <v>1.4534883720930358</v>
      </c>
      <c r="E285" s="161">
        <f>-B285*Main!$B$18-2*Main!$B$18*loop_gain!$B$17*loop_gain!$B$18</f>
        <v>-183.76186046511643</v>
      </c>
      <c r="F285" s="161">
        <f>2*Main!$B$18*loop_gain!$B$17*loop_gain!$B$18*Helper_calcs!$B$14*Current_limit!B285</f>
        <v>942.80232558140335</v>
      </c>
      <c r="G285" s="161">
        <f t="shared" si="35"/>
        <v>5.3576031780711073</v>
      </c>
      <c r="H285" s="161">
        <f>(Main!$B$18-Current_limit!G285)*Current_limit!G285/(Main!$B$18*loop_gain!$B$17*loop_gain!$B$18)</f>
        <v>0.42793802697421429</v>
      </c>
      <c r="I285" s="161">
        <f t="shared" si="36"/>
        <v>3.4720619730257827</v>
      </c>
      <c r="J285" s="161"/>
      <c r="K285" s="163">
        <f>IF(A285&gt;$B$15,IF(I285&gt;Helper_calcs!$B$15,23,3),0)</f>
        <v>0</v>
      </c>
      <c r="L285" s="162">
        <f t="shared" si="34"/>
        <v>1</v>
      </c>
      <c r="M285" s="162">
        <f t="shared" si="37"/>
        <v>1</v>
      </c>
      <c r="N285" s="161">
        <f t="shared" si="38"/>
        <v>3.4399999999999702</v>
      </c>
      <c r="O285" s="161">
        <f t="shared" si="39"/>
        <v>5</v>
      </c>
      <c r="P285" s="149">
        <f>IF(OR(M285=0,M285=3),loop_gain!$B$18,IF(Current_limit!M285=1,Current_limit!$B$12/(2*(Current_limit!N285-Helper_calcs!$B$15)),IF(OR(M285=2,M285=23),(Main!$B$18-Current_limit!O285)*Current_limit!O285/(Main!$B$18*loop_gain!$B$17*(Helper_calcs!$B$14-Helper_calcs!$B$15)),x)))</f>
        <v>1841329.9663301965</v>
      </c>
      <c r="Q285" s="161"/>
    </row>
    <row r="286" spans="1:17" x14ac:dyDescent="0.25">
      <c r="A286">
        <f t="shared" si="32"/>
        <v>3.44999999999997</v>
      </c>
      <c r="B286">
        <f>Main!$B$19/A286</f>
        <v>1.4492753623188532</v>
      </c>
      <c r="D286" s="161">
        <f t="shared" si="33"/>
        <v>1.4492753623188532</v>
      </c>
      <c r="E286" s="161">
        <f>-B286*Main!$B$18-2*Main!$B$18*loop_gain!$B$17*loop_gain!$B$18</f>
        <v>-183.71130434782623</v>
      </c>
      <c r="F286" s="161">
        <f>2*Main!$B$18*loop_gain!$B$17*loop_gain!$B$18*Helper_calcs!$B$14*Current_limit!B286</f>
        <v>940.06956521739937</v>
      </c>
      <c r="G286" s="161">
        <f t="shared" si="35"/>
        <v>5.342247857120789</v>
      </c>
      <c r="H286" s="161">
        <f>(Main!$B$18-Current_limit!G286)*Current_limit!G286/(Main!$B$18*loop_gain!$B$17*loop_gain!$B$18)</f>
        <v>0.42769795717337433</v>
      </c>
      <c r="I286" s="161">
        <f t="shared" si="36"/>
        <v>3.4723020428266249</v>
      </c>
      <c r="J286" s="161"/>
      <c r="K286" s="163">
        <f>IF(A286&gt;$B$15,IF(I286&gt;Helper_calcs!$B$15,23,3),0)</f>
        <v>0</v>
      </c>
      <c r="L286" s="162">
        <f t="shared" si="34"/>
        <v>1</v>
      </c>
      <c r="M286" s="162">
        <f t="shared" si="37"/>
        <v>1</v>
      </c>
      <c r="N286" s="161">
        <f t="shared" si="38"/>
        <v>3.44999999999997</v>
      </c>
      <c r="O286" s="161">
        <f t="shared" si="39"/>
        <v>5</v>
      </c>
      <c r="P286" s="149">
        <f>IF(OR(M286=0,M286=3),loop_gain!$B$18,IF(Current_limit!M286=1,Current_limit!$B$12/(2*(Current_limit!N286-Helper_calcs!$B$15)),IF(OR(M286=2,M286=23),(Main!$B$18-Current_limit!O286)*Current_limit!O286/(Main!$B$18*loop_gain!$B$17*(Helper_calcs!$B$14-Helper_calcs!$B$15)),x)))</f>
        <v>1767676.7676769812</v>
      </c>
      <c r="Q286" s="161"/>
    </row>
    <row r="287" spans="1:17" x14ac:dyDescent="0.25">
      <c r="A287">
        <f t="shared" si="32"/>
        <v>3.4599999999999698</v>
      </c>
      <c r="B287">
        <f>Main!$B$19/A287</f>
        <v>1.4450867052023249</v>
      </c>
      <c r="D287" s="161">
        <f t="shared" si="33"/>
        <v>1.4450867052023249</v>
      </c>
      <c r="E287" s="161">
        <f>-B287*Main!$B$18-2*Main!$B$18*loop_gain!$B$17*loop_gain!$B$18</f>
        <v>-183.66104046242788</v>
      </c>
      <c r="F287" s="161">
        <f>2*Main!$B$18*loop_gain!$B$17*loop_gain!$B$18*Helper_calcs!$B$14*Current_limit!B287</f>
        <v>937.35260115607753</v>
      </c>
      <c r="G287" s="161">
        <f t="shared" si="35"/>
        <v>5.3269843190610633</v>
      </c>
      <c r="H287" s="161">
        <f>(Main!$B$18-Current_limit!G287)*Current_limit!G287/(Main!$B$18*loop_gain!$B$17*loop_gain!$B$18)</f>
        <v>0.42745370241955627</v>
      </c>
      <c r="I287" s="161">
        <f t="shared" si="36"/>
        <v>3.4725462975804451</v>
      </c>
      <c r="J287" s="161"/>
      <c r="K287" s="163">
        <f>IF(A287&gt;$B$15,IF(I287&gt;Helper_calcs!$B$15,23,3),0)</f>
        <v>0</v>
      </c>
      <c r="L287" s="162">
        <f t="shared" si="34"/>
        <v>1</v>
      </c>
      <c r="M287" s="162">
        <f t="shared" si="37"/>
        <v>1</v>
      </c>
      <c r="N287" s="161">
        <f t="shared" si="38"/>
        <v>3.4599999999999698</v>
      </c>
      <c r="O287" s="161">
        <f t="shared" si="39"/>
        <v>5</v>
      </c>
      <c r="P287" s="149">
        <f>IF(OR(M287=0,M287=3),loop_gain!$B$18,IF(Current_limit!M287=1,Current_limit!$B$12/(2*(Current_limit!N287-Helper_calcs!$B$15)),IF(OR(M287=2,M287=23),(Main!$B$18-Current_limit!O287)*Current_limit!O287/(Main!$B$18*loop_gain!$B$17*(Helper_calcs!$B$14-Helper_calcs!$B$15)),x)))</f>
        <v>1699689.1996893985</v>
      </c>
      <c r="Q287" s="161"/>
    </row>
    <row r="288" spans="1:17" x14ac:dyDescent="0.25">
      <c r="A288">
        <f t="shared" si="32"/>
        <v>3.4699999999999696</v>
      </c>
      <c r="B288">
        <f>Main!$B$19/A288</f>
        <v>1.4409221902017417</v>
      </c>
      <c r="D288" s="161">
        <f t="shared" si="33"/>
        <v>1.4409221902017417</v>
      </c>
      <c r="E288" s="161">
        <f>-B288*Main!$B$18-2*Main!$B$18*loop_gain!$B$17*loop_gain!$B$18</f>
        <v>-183.61106628242089</v>
      </c>
      <c r="F288" s="161">
        <f>2*Main!$B$18*loop_gain!$B$17*loop_gain!$B$18*Helper_calcs!$B$14*Current_limit!B288</f>
        <v>934.65129682997929</v>
      </c>
      <c r="G288" s="161">
        <f t="shared" si="35"/>
        <v>5.3118117077663252</v>
      </c>
      <c r="H288" s="161">
        <f>(Main!$B$18-Current_limit!G288)*Current_limit!G288/(Main!$B$18*loop_gain!$B$17*loop_gain!$B$18)</f>
        <v>0.42720534962040047</v>
      </c>
      <c r="I288" s="161">
        <f t="shared" si="36"/>
        <v>3.4727946503795968</v>
      </c>
      <c r="J288" s="161"/>
      <c r="K288" s="163">
        <f>IF(A288&gt;$B$15,IF(I288&gt;Helper_calcs!$B$15,23,3),0)</f>
        <v>0</v>
      </c>
      <c r="L288" s="162">
        <f t="shared" si="34"/>
        <v>1</v>
      </c>
      <c r="M288" s="162">
        <f t="shared" si="37"/>
        <v>1</v>
      </c>
      <c r="N288" s="161">
        <f t="shared" si="38"/>
        <v>3.4699999999999696</v>
      </c>
      <c r="O288" s="161">
        <f t="shared" si="39"/>
        <v>5</v>
      </c>
      <c r="P288" s="149">
        <f>IF(OR(M288=0,M288=3),loop_gain!$B$18,IF(Current_limit!M288=1,Current_limit!$B$12/(2*(Current_limit!N288-Helper_calcs!$B$15)),IF(OR(M288=2,M288=23),(Main!$B$18-Current_limit!O288)*Current_limit!O288/(Main!$B$18*loop_gain!$B$17*(Helper_calcs!$B$14-Helper_calcs!$B$15)),x)))</f>
        <v>1636737.7478490446</v>
      </c>
      <c r="Q288" s="161"/>
    </row>
    <row r="289" spans="1:17" x14ac:dyDescent="0.25">
      <c r="A289">
        <f t="shared" ref="A289:A352" si="40">A288+0.01</f>
        <v>3.4799999999999693</v>
      </c>
      <c r="B289">
        <f>Main!$B$19/A289</f>
        <v>1.4367816091954149</v>
      </c>
      <c r="D289" s="161">
        <f t="shared" si="33"/>
        <v>1.4367816091954149</v>
      </c>
      <c r="E289" s="161">
        <f>-B289*Main!$B$18-2*Main!$B$18*loop_gain!$B$17*loop_gain!$B$18</f>
        <v>-183.56137931034496</v>
      </c>
      <c r="F289" s="161">
        <f>2*Main!$B$18*loop_gain!$B$17*loop_gain!$B$18*Helper_calcs!$B$14*Current_limit!B289</f>
        <v>931.96551724138737</v>
      </c>
      <c r="G289" s="161">
        <f t="shared" si="35"/>
        <v>5.2967291781463652</v>
      </c>
      <c r="H289" s="161">
        <f>(Main!$B$18-Current_limit!G289)*Current_limit!G289/(Main!$B$18*loop_gain!$B$17*loop_gain!$B$18)</f>
        <v>0.42695298402031401</v>
      </c>
      <c r="I289" s="161">
        <f t="shared" si="36"/>
        <v>3.4730470159796809</v>
      </c>
      <c r="J289" s="161"/>
      <c r="K289" s="163">
        <f>IF(A289&gt;$B$15,IF(I289&gt;Helper_calcs!$B$15,23,3),0)</f>
        <v>0</v>
      </c>
      <c r="L289" s="162">
        <f t="shared" si="34"/>
        <v>1</v>
      </c>
      <c r="M289" s="162">
        <f t="shared" si="37"/>
        <v>1</v>
      </c>
      <c r="N289" s="161">
        <f t="shared" si="38"/>
        <v>3.4799999999999693</v>
      </c>
      <c r="O289" s="161">
        <f t="shared" si="39"/>
        <v>5</v>
      </c>
      <c r="P289" s="149">
        <f>IF(OR(M289=0,M289=3),loop_gain!$B$18,IF(Current_limit!M289=1,Current_limit!$B$12/(2*(Current_limit!N289-Helper_calcs!$B$15)),IF(OR(M289=2,M289=23),(Main!$B$18-Current_limit!O289)*Current_limit!O289/(Main!$B$18*loop_gain!$B$17*(Helper_calcs!$B$14-Helper_calcs!$B$15)),x)))</f>
        <v>1578282.8282830021</v>
      </c>
      <c r="Q289" s="161"/>
    </row>
    <row r="290" spans="1:17" x14ac:dyDescent="0.25">
      <c r="A290">
        <f t="shared" si="40"/>
        <v>3.4899999999999691</v>
      </c>
      <c r="B290">
        <f>Main!$B$19/A290</f>
        <v>1.4326647564470041</v>
      </c>
      <c r="D290" s="161">
        <f t="shared" si="33"/>
        <v>1.4326647564470041</v>
      </c>
      <c r="E290" s="161">
        <f>-B290*Main!$B$18-2*Main!$B$18*loop_gain!$B$17*loop_gain!$B$18</f>
        <v>-183.51197707736404</v>
      </c>
      <c r="F290" s="161">
        <f>2*Main!$B$18*loop_gain!$B$17*loop_gain!$B$18*Helper_calcs!$B$14*Current_limit!B290</f>
        <v>929.29512893983622</v>
      </c>
      <c r="G290" s="161">
        <f t="shared" si="35"/>
        <v>5.2817358959629246</v>
      </c>
      <c r="H290" s="161">
        <f>(Main!$B$18-Current_limit!G290)*Current_limit!G290/(Main!$B$18*loop_gain!$B$17*loop_gain!$B$18)</f>
        <v>0.42669668923583237</v>
      </c>
      <c r="I290" s="161">
        <f t="shared" si="36"/>
        <v>3.4733033107641726</v>
      </c>
      <c r="J290" s="161"/>
      <c r="K290" s="163">
        <f>IF(A290&gt;$B$15,IF(I290&gt;Helper_calcs!$B$15,23,3),0)</f>
        <v>0</v>
      </c>
      <c r="L290" s="162">
        <f t="shared" si="34"/>
        <v>1</v>
      </c>
      <c r="M290" s="162">
        <f t="shared" si="37"/>
        <v>1</v>
      </c>
      <c r="N290" s="161">
        <f t="shared" si="38"/>
        <v>3.4899999999999691</v>
      </c>
      <c r="O290" s="161">
        <f t="shared" si="39"/>
        <v>5</v>
      </c>
      <c r="P290" s="149">
        <f>IF(OR(M290=0,M290=3),loop_gain!$B$18,IF(Current_limit!M290=1,Current_limit!$B$12/(2*(Current_limit!N290-Helper_calcs!$B$15)),IF(OR(M290=2,M290=23),(Main!$B$18-Current_limit!O290)*Current_limit!O290/(Main!$B$18*loop_gain!$B$17*(Helper_calcs!$B$14-Helper_calcs!$B$15)),x)))</f>
        <v>1523859.2824801353</v>
      </c>
      <c r="Q290" s="161"/>
    </row>
    <row r="291" spans="1:17" x14ac:dyDescent="0.25">
      <c r="A291">
        <f t="shared" si="40"/>
        <v>3.4999999999999689</v>
      </c>
      <c r="B291">
        <f>Main!$B$19/A291</f>
        <v>1.4285714285714413</v>
      </c>
      <c r="D291" s="161">
        <f t="shared" si="33"/>
        <v>1.4285714285714413</v>
      </c>
      <c r="E291" s="161">
        <f>-B291*Main!$B$18-2*Main!$B$18*loop_gain!$B$17*loop_gain!$B$18</f>
        <v>-183.46285714285727</v>
      </c>
      <c r="F291" s="161">
        <f>2*Main!$B$18*loop_gain!$B$17*loop_gain!$B$18*Helper_calcs!$B$14*Current_limit!B291</f>
        <v>926.64000000000806</v>
      </c>
      <c r="G291" s="161">
        <f t="shared" si="35"/>
        <v>5.2668310376499594</v>
      </c>
      <c r="H291" s="161">
        <f>(Main!$B$18-Current_limit!G291)*Current_limit!G291/(Main!$B$18*loop_gain!$B$17*loop_gain!$B$18)</f>
        <v>0.42643654729012226</v>
      </c>
      <c r="I291" s="161">
        <f t="shared" si="36"/>
        <v>3.4735634527098775</v>
      </c>
      <c r="J291" s="161"/>
      <c r="K291" s="163">
        <f>IF(A291&gt;$B$15,IF(I291&gt;Helper_calcs!$B$15,23,3),0)</f>
        <v>0</v>
      </c>
      <c r="L291" s="162">
        <f t="shared" si="34"/>
        <v>1</v>
      </c>
      <c r="M291" s="162">
        <f t="shared" si="37"/>
        <v>1</v>
      </c>
      <c r="N291" s="161">
        <f t="shared" si="38"/>
        <v>3.4999999999999689</v>
      </c>
      <c r="O291" s="161">
        <f t="shared" si="39"/>
        <v>5</v>
      </c>
      <c r="P291" s="149">
        <f>IF(OR(M291=0,M291=3),loop_gain!$B$18,IF(Current_limit!M291=1,Current_limit!$B$12/(2*(Current_limit!N291-Helper_calcs!$B$15)),IF(OR(M291=2,M291=23),(Main!$B$18-Current_limit!O291)*Current_limit!O291/(Main!$B$18*loop_gain!$B$17*(Helper_calcs!$B$14-Helper_calcs!$B$15)),x)))</f>
        <v>1473063.9730641264</v>
      </c>
      <c r="Q291" s="161"/>
    </row>
    <row r="292" spans="1:17" x14ac:dyDescent="0.25">
      <c r="A292">
        <f t="shared" si="40"/>
        <v>3.5099999999999687</v>
      </c>
      <c r="B292">
        <f>Main!$B$19/A292</f>
        <v>1.4245014245014371</v>
      </c>
      <c r="D292" s="161">
        <f t="shared" si="33"/>
        <v>1.4245014245014371</v>
      </c>
      <c r="E292" s="161">
        <f>-B292*Main!$B$18-2*Main!$B$18*loop_gain!$B$17*loop_gain!$B$18</f>
        <v>-183.41401709401725</v>
      </c>
      <c r="F292" s="161">
        <f>2*Main!$B$18*loop_gain!$B$17*loop_gain!$B$18*Helper_calcs!$B$14*Current_limit!B292</f>
        <v>924.00000000000807</v>
      </c>
      <c r="G292" s="161">
        <f t="shared" si="35"/>
        <v>5.2520137901377471</v>
      </c>
      <c r="H292" s="161">
        <f>(Main!$B$18-Current_limit!G292)*Current_limit!G292/(Main!$B$18*loop_gain!$B$17*loop_gain!$B$18)</f>
        <v>0.42617263864665583</v>
      </c>
      <c r="I292" s="161">
        <f t="shared" si="36"/>
        <v>3.4738273613533379</v>
      </c>
      <c r="J292" s="161"/>
      <c r="K292" s="163">
        <f>IF(A292&gt;$B$15,IF(I292&gt;Helper_calcs!$B$15,23,3),0)</f>
        <v>0</v>
      </c>
      <c r="L292" s="162">
        <f t="shared" si="34"/>
        <v>1</v>
      </c>
      <c r="M292" s="162">
        <f t="shared" si="37"/>
        <v>1</v>
      </c>
      <c r="N292" s="161">
        <f t="shared" si="38"/>
        <v>3.5099999999999687</v>
      </c>
      <c r="O292" s="161">
        <f t="shared" si="39"/>
        <v>5</v>
      </c>
      <c r="P292" s="149">
        <f>IF(OR(M292=0,M292=3),loop_gain!$B$18,IF(Current_limit!M292=1,Current_limit!$B$12/(2*(Current_limit!N292-Helper_calcs!$B$15)),IF(OR(M292=2,M292=23),(Main!$B$18-Current_limit!O292)*Current_limit!O292/(Main!$B$18*loop_gain!$B$17*(Helper_calcs!$B$14-Helper_calcs!$B$15)),x)))</f>
        <v>1425545.7803846349</v>
      </c>
      <c r="Q292" s="161"/>
    </row>
    <row r="293" spans="1:17" x14ac:dyDescent="0.25">
      <c r="A293">
        <f t="shared" si="40"/>
        <v>3.5199999999999685</v>
      </c>
      <c r="B293">
        <f>Main!$B$19/A293</f>
        <v>1.4204545454545581</v>
      </c>
      <c r="D293" s="161">
        <f t="shared" si="33"/>
        <v>1.4204545454545581</v>
      </c>
      <c r="E293" s="161">
        <f>-B293*Main!$B$18-2*Main!$B$18*loop_gain!$B$17*loop_gain!$B$18</f>
        <v>-183.3654545454547</v>
      </c>
      <c r="F293" s="161">
        <f>2*Main!$B$18*loop_gain!$B$17*loop_gain!$B$18*Helper_calcs!$B$14*Current_limit!B293</f>
        <v>921.37500000000807</v>
      </c>
      <c r="G293" s="161">
        <f t="shared" si="35"/>
        <v>5.2372833506803902</v>
      </c>
      <c r="H293" s="161">
        <f>(Main!$B$18-Current_limit!G293)*Current_limit!G293/(Main!$B$18*loop_gain!$B$17*loop_gain!$B$18)</f>
        <v>0.42590504224207154</v>
      </c>
      <c r="I293" s="161">
        <f t="shared" si="36"/>
        <v>3.4740949577579263</v>
      </c>
      <c r="J293" s="161"/>
      <c r="K293" s="163">
        <f>IF(A293&gt;$B$15,IF(I293&gt;Helper_calcs!$B$15,23,3),0)</f>
        <v>0</v>
      </c>
      <c r="L293" s="162">
        <f t="shared" si="34"/>
        <v>1</v>
      </c>
      <c r="M293" s="162">
        <f t="shared" si="37"/>
        <v>1</v>
      </c>
      <c r="N293" s="161">
        <f t="shared" si="38"/>
        <v>3.5199999999999685</v>
      </c>
      <c r="O293" s="161">
        <f t="shared" si="39"/>
        <v>5</v>
      </c>
      <c r="P293" s="149">
        <f>IF(OR(M293=0,M293=3),loop_gain!$B$18,IF(Current_limit!M293=1,Current_limit!$B$12/(2*(Current_limit!N293-Helper_calcs!$B$15)),IF(OR(M293=2,M293=23),(Main!$B$18-Current_limit!O293)*Current_limit!O293/(Main!$B$18*loop_gain!$B$17*(Helper_calcs!$B$14-Helper_calcs!$B$15)),x)))</f>
        <v>1380997.4747476114</v>
      </c>
      <c r="Q293" s="161"/>
    </row>
    <row r="294" spans="1:17" x14ac:dyDescent="0.25">
      <c r="A294">
        <f t="shared" si="40"/>
        <v>3.5299999999999683</v>
      </c>
      <c r="B294">
        <f>Main!$B$19/A294</f>
        <v>1.4164305949008626</v>
      </c>
      <c r="D294" s="161">
        <f t="shared" si="33"/>
        <v>1.4164305949008626</v>
      </c>
      <c r="E294" s="161">
        <f>-B294*Main!$B$18-2*Main!$B$18*loop_gain!$B$17*loop_gain!$B$18</f>
        <v>-183.31716713881033</v>
      </c>
      <c r="F294" s="161">
        <f>2*Main!$B$18*loop_gain!$B$17*loop_gain!$B$18*Helper_calcs!$B$14*Current_limit!B294</f>
        <v>918.76487252125457</v>
      </c>
      <c r="G294" s="161">
        <f t="shared" si="35"/>
        <v>5.2226389266868383</v>
      </c>
      <c r="H294" s="161">
        <f>(Main!$B$18-Current_limit!G294)*Current_limit!G294/(Main!$B$18*loop_gain!$B$17*loop_gain!$B$18)</f>
        <v>0.42563383551824691</v>
      </c>
      <c r="I294" s="161">
        <f t="shared" si="36"/>
        <v>3.4743661644817512</v>
      </c>
      <c r="J294" s="161"/>
      <c r="K294" s="163">
        <f>IF(A294&gt;$B$15,IF(I294&gt;Helper_calcs!$B$15,23,3),0)</f>
        <v>0</v>
      </c>
      <c r="L294" s="162">
        <f t="shared" si="34"/>
        <v>1</v>
      </c>
      <c r="M294" s="162">
        <f t="shared" si="37"/>
        <v>1</v>
      </c>
      <c r="N294" s="161">
        <f t="shared" si="38"/>
        <v>3.5299999999999683</v>
      </c>
      <c r="O294" s="161">
        <f t="shared" si="39"/>
        <v>5</v>
      </c>
      <c r="P294" s="149">
        <f>IF(OR(M294=0,M294=3),loop_gain!$B$18,IF(Current_limit!M294=1,Current_limit!$B$12/(2*(Current_limit!N294-Helper_calcs!$B$15)),IF(OR(M294=2,M294=23),(Main!$B$18-Current_limit!O294)*Current_limit!O294/(Main!$B$18*loop_gain!$B$17*(Helper_calcs!$B$14-Helper_calcs!$B$15)),x)))</f>
        <v>1339149.0664219232</v>
      </c>
      <c r="Q294" s="161"/>
    </row>
    <row r="295" spans="1:17" x14ac:dyDescent="0.25">
      <c r="A295">
        <f t="shared" si="40"/>
        <v>3.5399999999999681</v>
      </c>
      <c r="B295">
        <f>Main!$B$19/A295</f>
        <v>1.4124293785310862</v>
      </c>
      <c r="D295" s="161">
        <f t="shared" si="33"/>
        <v>1.4124293785310862</v>
      </c>
      <c r="E295" s="161">
        <f>-B295*Main!$B$18-2*Main!$B$18*loop_gain!$B$17*loop_gain!$B$18</f>
        <v>-183.26915254237304</v>
      </c>
      <c r="F295" s="161">
        <f>2*Main!$B$18*loop_gain!$B$17*loop_gain!$B$18*Helper_calcs!$B$14*Current_limit!B295</f>
        <v>916.16949152543191</v>
      </c>
      <c r="G295" s="161">
        <f t="shared" si="35"/>
        <v>5.2080797355554047</v>
      </c>
      <c r="H295" s="161">
        <f>(Main!$B$18-Current_limit!G295)*Current_limit!G295/(Main!$B$18*loop_gain!$B$17*loop_gain!$B$18)</f>
        <v>0.42535909445360753</v>
      </c>
      <c r="I295" s="161">
        <f t="shared" si="36"/>
        <v>3.4746409055463894</v>
      </c>
      <c r="J295" s="161"/>
      <c r="K295" s="163">
        <f>IF(A295&gt;$B$15,IF(I295&gt;Helper_calcs!$B$15,23,3),0)</f>
        <v>0</v>
      </c>
      <c r="L295" s="162">
        <f t="shared" si="34"/>
        <v>1</v>
      </c>
      <c r="M295" s="162">
        <f t="shared" si="37"/>
        <v>1</v>
      </c>
      <c r="N295" s="161">
        <f t="shared" si="38"/>
        <v>3.5399999999999681</v>
      </c>
      <c r="O295" s="161">
        <f t="shared" si="39"/>
        <v>5</v>
      </c>
      <c r="P295" s="149">
        <f>IF(OR(M295=0,M295=3),loop_gain!$B$18,IF(Current_limit!M295=1,Current_limit!$B$12/(2*(Current_limit!N295-Helper_calcs!$B$15)),IF(OR(M295=2,M295=23),(Main!$B$18-Current_limit!O295)*Current_limit!O295/(Main!$B$18*loop_gain!$B$17*(Helper_calcs!$B$14-Helper_calcs!$B$15)),x)))</f>
        <v>1299762.3291742166</v>
      </c>
      <c r="Q295" s="161"/>
    </row>
    <row r="296" spans="1:17" x14ac:dyDescent="0.25">
      <c r="A296">
        <f t="shared" si="40"/>
        <v>3.5499999999999678</v>
      </c>
      <c r="B296">
        <f>Main!$B$19/A296</f>
        <v>1.4084507042253649</v>
      </c>
      <c r="D296" s="161">
        <f t="shared" si="33"/>
        <v>1.4084507042253649</v>
      </c>
      <c r="E296" s="161">
        <f>-B296*Main!$B$18-2*Main!$B$18*loop_gain!$B$17*loop_gain!$B$18</f>
        <v>-183.22140845070436</v>
      </c>
      <c r="F296" s="161">
        <f>2*Main!$B$18*loop_gain!$B$17*loop_gain!$B$18*Helper_calcs!$B$14*Current_limit!B296</f>
        <v>913.58873239437435</v>
      </c>
      <c r="G296" s="161">
        <f t="shared" si="35"/>
        <v>5.193605004511535</v>
      </c>
      <c r="H296" s="161">
        <f>(Main!$B$18-Current_limit!G296)*Current_limit!G296/(Main!$B$18*loop_gain!$B$17*loop_gain!$B$18)</f>
        <v>0.42508089359368878</v>
      </c>
      <c r="I296" s="161">
        <f t="shared" si="36"/>
        <v>3.4749191064063116</v>
      </c>
      <c r="J296" s="161"/>
      <c r="K296" s="163">
        <f>IF(A296&gt;$B$15,IF(I296&gt;Helper_calcs!$B$15,23,3),0)</f>
        <v>0</v>
      </c>
      <c r="L296" s="162">
        <f t="shared" si="34"/>
        <v>1</v>
      </c>
      <c r="M296" s="162">
        <f t="shared" si="37"/>
        <v>1</v>
      </c>
      <c r="N296" s="161">
        <f t="shared" si="38"/>
        <v>3.5499999999999678</v>
      </c>
      <c r="O296" s="161">
        <f t="shared" si="39"/>
        <v>5</v>
      </c>
      <c r="P296" s="149">
        <f>IF(OR(M296=0,M296=3),loop_gain!$B$18,IF(Current_limit!M296=1,Current_limit!$B$12/(2*(Current_limit!N296-Helper_calcs!$B$15)),IF(OR(M296=2,M296=23),(Main!$B$18-Current_limit!O296)*Current_limit!O296/(Main!$B$18*loop_gain!$B$17*(Helper_calcs!$B$14-Helper_calcs!$B$15)),x)))</f>
        <v>1262626.2626263793</v>
      </c>
      <c r="Q296" s="161"/>
    </row>
    <row r="297" spans="1:17" x14ac:dyDescent="0.25">
      <c r="A297">
        <f t="shared" si="40"/>
        <v>3.5599999999999676</v>
      </c>
      <c r="B297">
        <f>Main!$B$19/A297</f>
        <v>1.4044943820224847</v>
      </c>
      <c r="D297" s="161">
        <f t="shared" si="33"/>
        <v>1.4044943820224847</v>
      </c>
      <c r="E297" s="161">
        <f>-B297*Main!$B$18-2*Main!$B$18*loop_gain!$B$17*loop_gain!$B$18</f>
        <v>-183.17393258426981</v>
      </c>
      <c r="F297" s="161">
        <f>2*Main!$B$18*loop_gain!$B$17*loop_gain!$B$18*Helper_calcs!$B$14*Current_limit!B297</f>
        <v>911.02247191012054</v>
      </c>
      <c r="G297" s="161">
        <f t="shared" si="35"/>
        <v>5.1792139704488029</v>
      </c>
      <c r="H297" s="161">
        <f>(Main!$B$18-Current_limit!G297)*Current_limit!G297/(Main!$B$18*loop_gain!$B$17*loop_gain!$B$18)</f>
        <v>0.42479930608097138</v>
      </c>
      <c r="I297" s="161">
        <f t="shared" si="36"/>
        <v>3.4752006939190285</v>
      </c>
      <c r="J297" s="161"/>
      <c r="K297" s="163">
        <f>IF(A297&gt;$B$15,IF(I297&gt;Helper_calcs!$B$15,23,3),0)</f>
        <v>0</v>
      </c>
      <c r="L297" s="162">
        <f t="shared" si="34"/>
        <v>2</v>
      </c>
      <c r="M297" s="162">
        <f t="shared" si="37"/>
        <v>2</v>
      </c>
      <c r="N297" s="161">
        <f t="shared" si="38"/>
        <v>3.55</v>
      </c>
      <c r="O297" s="161">
        <f t="shared" si="39"/>
        <v>4.9859550561798205</v>
      </c>
      <c r="P297" s="149">
        <f>IF(OR(M297=0,M297=3),loop_gain!$B$18,IF(Current_limit!M297=1,Current_limit!$B$12/(2*(Current_limit!N297-Helper_calcs!$B$15)),IF(OR(M297=2,M297=23),(Main!$B$18-Current_limit!O297)*Current_limit!O297/(Main!$B$18*loop_gain!$B$17*(Helper_calcs!$B$14-Helper_calcs!$B$15)),x)))</f>
        <v>1261605.8027385548</v>
      </c>
      <c r="Q297" s="161"/>
    </row>
    <row r="298" spans="1:17" x14ac:dyDescent="0.25">
      <c r="A298">
        <f t="shared" si="40"/>
        <v>3.5699999999999674</v>
      </c>
      <c r="B298">
        <f>Main!$B$19/A298</f>
        <v>1.4005602240896486</v>
      </c>
      <c r="D298" s="161">
        <f t="shared" si="33"/>
        <v>1.4005602240896486</v>
      </c>
      <c r="E298" s="161">
        <f>-B298*Main!$B$18-2*Main!$B$18*loop_gain!$B$17*loop_gain!$B$18</f>
        <v>-183.12672268907579</v>
      </c>
      <c r="F298" s="161">
        <f>2*Main!$B$18*loop_gain!$B$17*loop_gain!$B$18*Helper_calcs!$B$14*Current_limit!B298</f>
        <v>908.47058823530233</v>
      </c>
      <c r="G298" s="161">
        <f t="shared" si="35"/>
        <v>5.1649058797731549</v>
      </c>
      <c r="H298" s="161">
        <f>(Main!$B$18-Current_limit!G298)*Current_limit!G298/(Main!$B$18*loop_gain!$B$17*loop_gain!$B$18)</f>
        <v>0.42451440368401333</v>
      </c>
      <c r="I298" s="161">
        <f t="shared" si="36"/>
        <v>3.4754855963159921</v>
      </c>
      <c r="J298" s="161"/>
      <c r="K298" s="163">
        <f>IF(A298&gt;$B$15,IF(I298&gt;Helper_calcs!$B$15,23,3),0)</f>
        <v>0</v>
      </c>
      <c r="L298" s="162">
        <f t="shared" si="34"/>
        <v>2</v>
      </c>
      <c r="M298" s="162">
        <f t="shared" si="37"/>
        <v>2</v>
      </c>
      <c r="N298" s="161">
        <f t="shared" si="38"/>
        <v>3.55</v>
      </c>
      <c r="O298" s="161">
        <f t="shared" si="39"/>
        <v>4.9719887955182527</v>
      </c>
      <c r="P298" s="149">
        <f>IF(OR(M298=0,M298=3),loop_gain!$B$18,IF(Current_limit!M298=1,Current_limit!$B$12/(2*(Current_limit!N298-Helper_calcs!$B$15)),IF(OR(M298=2,M298=23),(Main!$B$18-Current_limit!O298)*Current_limit!O298/(Main!$B$18*loop_gain!$B$17*(Helper_calcs!$B$14-Helper_calcs!$B$15)),x)))</f>
        <v>1260576.9467337662</v>
      </c>
      <c r="Q298" s="161"/>
    </row>
    <row r="299" spans="1:17" x14ac:dyDescent="0.25">
      <c r="A299">
        <f t="shared" si="40"/>
        <v>3.5799999999999672</v>
      </c>
      <c r="B299">
        <f>Main!$B$19/A299</f>
        <v>1.3966480446927503</v>
      </c>
      <c r="D299" s="161">
        <f t="shared" si="33"/>
        <v>1.3966480446927503</v>
      </c>
      <c r="E299" s="161">
        <f>-B299*Main!$B$18-2*Main!$B$18*loop_gain!$B$17*loop_gain!$B$18</f>
        <v>-183.07977653631301</v>
      </c>
      <c r="F299" s="161">
        <f>2*Main!$B$18*loop_gain!$B$17*loop_gain!$B$18*Helper_calcs!$B$14*Current_limit!B299</f>
        <v>905.93296089386297</v>
      </c>
      <c r="G299" s="161">
        <f t="shared" si="35"/>
        <v>5.1506799882501184</v>
      </c>
      <c r="H299" s="161">
        <f>(Main!$B$18-Current_limit!G299)*Current_limit!G299/(Main!$B$18*loop_gain!$B$17*loop_gain!$B$18)</f>
        <v>0.4242262568258921</v>
      </c>
      <c r="I299" s="161">
        <f t="shared" si="36"/>
        <v>3.4757737431741047</v>
      </c>
      <c r="J299" s="161"/>
      <c r="K299" s="163">
        <f>IF(A299&gt;$B$15,IF(I299&gt;Helper_calcs!$B$15,23,3),0)</f>
        <v>0</v>
      </c>
      <c r="L299" s="162">
        <f t="shared" si="34"/>
        <v>2</v>
      </c>
      <c r="M299" s="162">
        <f t="shared" si="37"/>
        <v>2</v>
      </c>
      <c r="N299" s="161">
        <f t="shared" si="38"/>
        <v>3.55</v>
      </c>
      <c r="O299" s="161">
        <f t="shared" si="39"/>
        <v>4.9581005586592628</v>
      </c>
      <c r="P299" s="149">
        <f>IF(OR(M299=0,M299=3),loop_gain!$B$18,IF(Current_limit!M299=1,Current_limit!$B$12/(2*(Current_limit!N299-Helper_calcs!$B$15)),IF(OR(M299=2,M299=23),(Main!$B$18-Current_limit!O299)*Current_limit!O299/(Main!$B$18*loop_gain!$B$17*(Helper_calcs!$B$14-Helper_calcs!$B$15)),x)))</f>
        <v>1259539.8829052625</v>
      </c>
      <c r="Q299" s="161"/>
    </row>
    <row r="300" spans="1:17" x14ac:dyDescent="0.25">
      <c r="A300">
        <f t="shared" si="40"/>
        <v>3.589999999999967</v>
      </c>
      <c r="B300">
        <f>Main!$B$19/A300</f>
        <v>1.3927576601671436</v>
      </c>
      <c r="D300" s="161">
        <f t="shared" si="33"/>
        <v>1.3927576601671436</v>
      </c>
      <c r="E300" s="161">
        <f>-B300*Main!$B$18-2*Main!$B$18*loop_gain!$B$17*loop_gain!$B$18</f>
        <v>-183.03309192200572</v>
      </c>
      <c r="F300" s="161">
        <f>2*Main!$B$18*loop_gain!$B$17*loop_gain!$B$18*Helper_calcs!$B$14*Current_limit!B300</f>
        <v>903.40947075209726</v>
      </c>
      <c r="G300" s="161">
        <f t="shared" si="35"/>
        <v>5.1365355608552186</v>
      </c>
      <c r="H300" s="161">
        <f>(Main!$B$18-Current_limit!G300)*Current_limit!G300/(Main!$B$18*loop_gain!$B$17*loop_gain!$B$18)</f>
        <v>0.42393493461198156</v>
      </c>
      <c r="I300" s="161">
        <f t="shared" si="36"/>
        <v>3.4760650653880223</v>
      </c>
      <c r="J300" s="161"/>
      <c r="K300" s="163">
        <f>IF(A300&gt;$B$15,IF(I300&gt;Helper_calcs!$B$15,23,3),0)</f>
        <v>0</v>
      </c>
      <c r="L300" s="162">
        <f t="shared" si="34"/>
        <v>2</v>
      </c>
      <c r="M300" s="162">
        <f t="shared" si="37"/>
        <v>2</v>
      </c>
      <c r="N300" s="161">
        <f t="shared" si="38"/>
        <v>3.55</v>
      </c>
      <c r="O300" s="161">
        <f t="shared" si="39"/>
        <v>4.94428969359336</v>
      </c>
      <c r="P300" s="149">
        <f>IF(OR(M300=0,M300=3),loop_gain!$B$18,IF(Current_limit!M300=1,Current_limit!$B$12/(2*(Current_limit!N300-Helper_calcs!$B$15)),IF(OR(M300=2,M300=23),(Main!$B$18-Current_limit!O300)*Current_limit!O300/(Main!$B$18*loop_gain!$B$17*(Helper_calcs!$B$14-Helper_calcs!$B$15)),x)))</f>
        <v>1258494.7961380524</v>
      </c>
      <c r="Q300" s="161"/>
    </row>
    <row r="301" spans="1:17" x14ac:dyDescent="0.25">
      <c r="A301">
        <f t="shared" si="40"/>
        <v>3.5999999999999668</v>
      </c>
      <c r="B301">
        <f>Main!$B$19/A301</f>
        <v>1.3888888888889017</v>
      </c>
      <c r="D301" s="161">
        <f t="shared" si="33"/>
        <v>1.3888888888889017</v>
      </c>
      <c r="E301" s="161">
        <f>-B301*Main!$B$18-2*Main!$B$18*loop_gain!$B$17*loop_gain!$B$18</f>
        <v>-182.98666666666682</v>
      </c>
      <c r="F301" s="161">
        <f>2*Main!$B$18*loop_gain!$B$17*loop_gain!$B$18*Helper_calcs!$B$14*Current_limit!B301</f>
        <v>900.90000000000816</v>
      </c>
      <c r="G301" s="161">
        <f t="shared" si="35"/>
        <v>5.1224718716270772</v>
      </c>
      <c r="H301" s="161">
        <f>(Main!$B$18-Current_limit!G301)*Current_limit!G301/(Main!$B$18*loop_gain!$B$17*loop_gain!$B$18)</f>
        <v>0.4236405048570745</v>
      </c>
      <c r="I301" s="161">
        <f t="shared" si="36"/>
        <v>3.4763594951429244</v>
      </c>
      <c r="J301" s="161"/>
      <c r="K301" s="163">
        <f>IF(A301&gt;$B$15,IF(I301&gt;Helper_calcs!$B$15,23,3),0)</f>
        <v>0</v>
      </c>
      <c r="L301" s="162">
        <f t="shared" si="34"/>
        <v>2</v>
      </c>
      <c r="M301" s="162">
        <f t="shared" si="37"/>
        <v>2</v>
      </c>
      <c r="N301" s="161">
        <f t="shared" si="38"/>
        <v>3.55</v>
      </c>
      <c r="O301" s="161">
        <f t="shared" si="39"/>
        <v>4.9305555555556007</v>
      </c>
      <c r="P301" s="149">
        <f>IF(OR(M301=0,M301=3),loop_gain!$B$18,IF(Current_limit!M301=1,Current_limit!$B$12/(2*(Current_limit!N301-Helper_calcs!$B$15)),IF(OR(M301=2,M301=23),(Main!$B$18-Current_limit!O301)*Current_limit!O301/(Main!$B$18*loop_gain!$B$17*(Helper_calcs!$B$14-Helper_calcs!$B$15)),x)))</f>
        <v>1257441.8679742794</v>
      </c>
      <c r="Q301" s="161"/>
    </row>
    <row r="302" spans="1:17" x14ac:dyDescent="0.25">
      <c r="A302">
        <f t="shared" si="40"/>
        <v>3.6099999999999666</v>
      </c>
      <c r="B302">
        <f>Main!$B$19/A302</f>
        <v>1.3850415512465502</v>
      </c>
      <c r="D302" s="161">
        <f t="shared" si="33"/>
        <v>1.3850415512465502</v>
      </c>
      <c r="E302" s="161">
        <f>-B302*Main!$B$18-2*Main!$B$18*loop_gain!$B$17*loop_gain!$B$18</f>
        <v>-182.94049861495859</v>
      </c>
      <c r="F302" s="161">
        <f>2*Main!$B$18*loop_gain!$B$17*loop_gain!$B$18*Helper_calcs!$B$14*Current_limit!B302</f>
        <v>898.40443213297215</v>
      </c>
      <c r="G302" s="161">
        <f t="shared" si="35"/>
        <v>5.1084882035236792</v>
      </c>
      <c r="H302" s="161">
        <f>(Main!$B$18-Current_limit!G302)*Current_limit!G302/(Main!$B$18*loop_gain!$B$17*loop_gain!$B$18)</f>
        <v>0.42334303411187546</v>
      </c>
      <c r="I302" s="161">
        <f t="shared" si="36"/>
        <v>3.4766569658881248</v>
      </c>
      <c r="J302" s="161"/>
      <c r="K302" s="163">
        <f>IF(A302&gt;$B$15,IF(I302&gt;Helper_calcs!$B$15,23,3),0)</f>
        <v>0</v>
      </c>
      <c r="L302" s="162">
        <f t="shared" si="34"/>
        <v>2</v>
      </c>
      <c r="M302" s="162">
        <f t="shared" si="37"/>
        <v>2</v>
      </c>
      <c r="N302" s="161">
        <f t="shared" si="38"/>
        <v>3.55</v>
      </c>
      <c r="O302" s="161">
        <f t="shared" si="39"/>
        <v>4.9168975069252525</v>
      </c>
      <c r="P302" s="149">
        <f>IF(OR(M302=0,M302=3),loop_gain!$B$18,IF(Current_limit!M302=1,Current_limit!$B$12/(2*(Current_limit!N302-Helper_calcs!$B$15)),IF(OR(M302=2,M302=23),(Main!$B$18-Current_limit!O302)*Current_limit!O302/(Main!$B$18*loop_gain!$B$17*(Helper_calcs!$B$14-Helper_calcs!$B$15)),x)))</f>
        <v>1256381.2766773188</v>
      </c>
      <c r="Q302" s="161"/>
    </row>
    <row r="303" spans="1:17" x14ac:dyDescent="0.25">
      <c r="A303">
        <f t="shared" si="40"/>
        <v>3.6199999999999664</v>
      </c>
      <c r="B303">
        <f>Main!$B$19/A303</f>
        <v>1.3812154696132726</v>
      </c>
      <c r="D303" s="161">
        <f t="shared" si="33"/>
        <v>1.3812154696132726</v>
      </c>
      <c r="E303" s="161">
        <f>-B303*Main!$B$18-2*Main!$B$18*loop_gain!$B$17*loop_gain!$B$18</f>
        <v>-182.89458563535925</v>
      </c>
      <c r="F303" s="161">
        <f>2*Main!$B$18*loop_gain!$B$17*loop_gain!$B$18*Helper_calcs!$B$14*Current_limit!B303</f>
        <v>895.92265193370986</v>
      </c>
      <c r="G303" s="161">
        <f t="shared" si="35"/>
        <v>5.0945838482812045</v>
      </c>
      <c r="H303" s="161">
        <f>(Main!$B$18-Current_limit!G303)*Current_limit!G303/(Main!$B$18*loop_gain!$B$17*loop_gain!$B$18)</f>
        <v>0.42304258768887359</v>
      </c>
      <c r="I303" s="161">
        <f t="shared" si="36"/>
        <v>3.4769574123111209</v>
      </c>
      <c r="J303" s="161"/>
      <c r="K303" s="163">
        <f>IF(A303&gt;$B$15,IF(I303&gt;Helper_calcs!$B$15,23,3),0)</f>
        <v>0</v>
      </c>
      <c r="L303" s="162">
        <f t="shared" si="34"/>
        <v>2</v>
      </c>
      <c r="M303" s="162">
        <f t="shared" si="37"/>
        <v>2</v>
      </c>
      <c r="N303" s="161">
        <f t="shared" si="38"/>
        <v>3.55</v>
      </c>
      <c r="O303" s="161">
        <f t="shared" si="39"/>
        <v>4.9033149171271173</v>
      </c>
      <c r="P303" s="149">
        <f>IF(OR(M303=0,M303=3),loop_gain!$B$18,IF(Current_limit!M303=1,Current_limit!$B$12/(2*(Current_limit!N303-Helper_calcs!$B$15)),IF(OR(M303=2,M303=23),(Main!$B$18-Current_limit!O303)*Current_limit!O303/(Main!$B$18*loop_gain!$B$17*(Helper_calcs!$B$14-Helper_calcs!$B$15)),x)))</f>
        <v>1255313.1972945207</v>
      </c>
      <c r="Q303" s="161"/>
    </row>
    <row r="304" spans="1:17" x14ac:dyDescent="0.25">
      <c r="A304">
        <f t="shared" si="40"/>
        <v>3.6299999999999661</v>
      </c>
      <c r="B304">
        <f>Main!$B$19/A304</f>
        <v>1.377410468319572</v>
      </c>
      <c r="D304" s="161">
        <f t="shared" si="33"/>
        <v>1.377410468319572</v>
      </c>
      <c r="E304" s="161">
        <f>-B304*Main!$B$18-2*Main!$B$18*loop_gain!$B$17*loop_gain!$B$18</f>
        <v>-182.84892561983486</v>
      </c>
      <c r="F304" s="161">
        <f>2*Main!$B$18*loop_gain!$B$17*loop_gain!$B$18*Helper_calcs!$B$14*Current_limit!B304</f>
        <v>893.45454545455368</v>
      </c>
      <c r="G304" s="161">
        <f t="shared" si="35"/>
        <v>5.0807581062757974</v>
      </c>
      <c r="H304" s="161">
        <f>(Main!$B$18-Current_limit!G304)*Current_limit!G304/(Main!$B$18*loop_gain!$B$17*loop_gain!$B$18)</f>
        <v>0.42273922968761835</v>
      </c>
      <c r="I304" s="161">
        <f t="shared" si="36"/>
        <v>3.4772607703123857</v>
      </c>
      <c r="J304" s="161"/>
      <c r="K304" s="163">
        <f>IF(A304&gt;$B$15,IF(I304&gt;Helper_calcs!$B$15,23,3),0)</f>
        <v>0</v>
      </c>
      <c r="L304" s="162">
        <f t="shared" si="34"/>
        <v>2</v>
      </c>
      <c r="M304" s="162">
        <f t="shared" si="37"/>
        <v>2</v>
      </c>
      <c r="N304" s="161">
        <f t="shared" si="38"/>
        <v>3.55</v>
      </c>
      <c r="O304" s="161">
        <f t="shared" si="39"/>
        <v>4.8898071625344803</v>
      </c>
      <c r="P304" s="149">
        <f>IF(OR(M304=0,M304=3),loop_gain!$B$18,IF(Current_limit!M304=1,Current_limit!$B$12/(2*(Current_limit!N304-Helper_calcs!$B$15)),IF(OR(M304=2,M304=23),(Main!$B$18-Current_limit!O304)*Current_limit!O304/(Main!$B$18*loop_gain!$B$17*(Helper_calcs!$B$14-Helper_calcs!$B$15)),x)))</f>
        <v>1254237.8017186245</v>
      </c>
      <c r="Q304" s="161"/>
    </row>
    <row r="305" spans="1:17" x14ac:dyDescent="0.25">
      <c r="A305">
        <f t="shared" si="40"/>
        <v>3.6399999999999659</v>
      </c>
      <c r="B305">
        <f>Main!$B$19/A305</f>
        <v>1.3736263736263865</v>
      </c>
      <c r="D305" s="161">
        <f t="shared" si="33"/>
        <v>1.3736263736263865</v>
      </c>
      <c r="E305" s="161">
        <f>-B305*Main!$B$18-2*Main!$B$18*loop_gain!$B$17*loop_gain!$B$18</f>
        <v>-182.80351648351663</v>
      </c>
      <c r="F305" s="161">
        <f>2*Main!$B$18*loop_gain!$B$17*loop_gain!$B$18*Helper_calcs!$B$14*Current_limit!B305</f>
        <v>891.00000000000819</v>
      </c>
      <c r="G305" s="161">
        <f t="shared" si="35"/>
        <v>5.0670102863878181</v>
      </c>
      <c r="H305" s="161">
        <f>(Main!$B$18-Current_limit!G305)*Current_limit!G305/(Main!$B$18*loop_gain!$B$17*loop_gain!$B$18)</f>
        <v>0.42243302301940666</v>
      </c>
      <c r="I305" s="161">
        <f t="shared" si="36"/>
        <v>3.4775669769805937</v>
      </c>
      <c r="J305" s="161"/>
      <c r="K305" s="163">
        <f>IF(A305&gt;$B$15,IF(I305&gt;Helper_calcs!$B$15,23,3),0)</f>
        <v>0</v>
      </c>
      <c r="L305" s="162">
        <f t="shared" si="34"/>
        <v>2</v>
      </c>
      <c r="M305" s="162">
        <f t="shared" si="37"/>
        <v>2</v>
      </c>
      <c r="N305" s="161">
        <f t="shared" si="38"/>
        <v>3.55</v>
      </c>
      <c r="O305" s="161">
        <f t="shared" si="39"/>
        <v>4.8763736263736721</v>
      </c>
      <c r="P305" s="149">
        <f>IF(OR(M305=0,M305=3),loop_gain!$B$18,IF(Current_limit!M305=1,Current_limit!$B$12/(2*(Current_limit!N305-Helper_calcs!$B$15)),IF(OR(M305=2,M305=23),(Main!$B$18-Current_limit!O305)*Current_limit!O305/(Main!$B$18*loop_gain!$B$17*(Helper_calcs!$B$14-Helper_calcs!$B$15)),x)))</f>
        <v>1253155.2587478845</v>
      </c>
      <c r="Q305" s="161"/>
    </row>
    <row r="306" spans="1:17" x14ac:dyDescent="0.25">
      <c r="A306">
        <f t="shared" si="40"/>
        <v>3.6499999999999657</v>
      </c>
      <c r="B306">
        <f>Main!$B$19/A306</f>
        <v>1.3698630136986429</v>
      </c>
      <c r="D306" s="161">
        <f t="shared" si="33"/>
        <v>1.3698630136986429</v>
      </c>
      <c r="E306" s="161">
        <f>-B306*Main!$B$18-2*Main!$B$18*loop_gain!$B$17*loop_gain!$B$18</f>
        <v>-182.75835616438371</v>
      </c>
      <c r="F306" s="161">
        <f>2*Main!$B$18*loop_gain!$B$17*loop_gain!$B$18*Helper_calcs!$B$14*Current_limit!B306</f>
        <v>888.55890410959728</v>
      </c>
      <c r="G306" s="161">
        <f t="shared" si="35"/>
        <v>5.053339705868952</v>
      </c>
      <c r="H306" s="161">
        <f>(Main!$B$18-Current_limit!G306)*Current_limit!G306/(Main!$B$18*loop_gain!$B$17*loop_gain!$B$18)</f>
        <v>0.42212402943140592</v>
      </c>
      <c r="I306" s="161">
        <f t="shared" si="36"/>
        <v>3.4778759705685975</v>
      </c>
      <c r="J306" s="161"/>
      <c r="K306" s="163">
        <f>IF(A306&gt;$B$15,IF(I306&gt;Helper_calcs!$B$15,23,3),0)</f>
        <v>0</v>
      </c>
      <c r="L306" s="162">
        <f t="shared" si="34"/>
        <v>2</v>
      </c>
      <c r="M306" s="162">
        <f t="shared" si="37"/>
        <v>2</v>
      </c>
      <c r="N306" s="161">
        <f t="shared" si="38"/>
        <v>3.55</v>
      </c>
      <c r="O306" s="161">
        <f t="shared" si="39"/>
        <v>4.8630136986301826</v>
      </c>
      <c r="P306" s="149">
        <f>IF(OR(M306=0,M306=3),loop_gain!$B$18,IF(Current_limit!M306=1,Current_limit!$B$12/(2*(Current_limit!N306-Helper_calcs!$B$15)),IF(OR(M306=2,M306=23),(Main!$B$18-Current_limit!O306)*Current_limit!O306/(Main!$B$18*loop_gain!$B$17*(Helper_calcs!$B$14-Helper_calcs!$B$15)),x)))</f>
        <v>1252065.7341449279</v>
      </c>
      <c r="Q306" s="161"/>
    </row>
    <row r="307" spans="1:17" x14ac:dyDescent="0.25">
      <c r="A307">
        <f t="shared" si="40"/>
        <v>3.6599999999999655</v>
      </c>
      <c r="B307">
        <f>Main!$B$19/A307</f>
        <v>1.3661202185792478</v>
      </c>
      <c r="D307" s="161">
        <f t="shared" si="33"/>
        <v>1.3661202185792478</v>
      </c>
      <c r="E307" s="161">
        <f>-B307*Main!$B$18-2*Main!$B$18*loop_gain!$B$17*loop_gain!$B$18</f>
        <v>-182.71344262295096</v>
      </c>
      <c r="F307" s="161">
        <f>2*Main!$B$18*loop_gain!$B$17*loop_gain!$B$18*Helper_calcs!$B$14*Current_limit!B307</f>
        <v>886.13114754099183</v>
      </c>
      <c r="G307" s="161">
        <f t="shared" si="35"/>
        <v>5.0397456902116442</v>
      </c>
      <c r="H307" s="161">
        <f>(Main!$B$18-Current_limit!G307)*Current_limit!G307/(Main!$B$18*loop_gain!$B$17*loop_gain!$B$18)</f>
        <v>0.42181230953021753</v>
      </c>
      <c r="I307" s="161">
        <f t="shared" si="36"/>
        <v>3.4781876904697802</v>
      </c>
      <c r="J307" s="161"/>
      <c r="K307" s="163">
        <f>IF(A307&gt;$B$15,IF(I307&gt;Helper_calcs!$B$15,23,3),0)</f>
        <v>0</v>
      </c>
      <c r="L307" s="162">
        <f t="shared" si="34"/>
        <v>2</v>
      </c>
      <c r="M307" s="162">
        <f t="shared" si="37"/>
        <v>2</v>
      </c>
      <c r="N307" s="161">
        <f t="shared" si="38"/>
        <v>3.55</v>
      </c>
      <c r="O307" s="161">
        <f t="shared" si="39"/>
        <v>4.8497267759563298</v>
      </c>
      <c r="P307" s="149">
        <f>IF(OR(M307=0,M307=3),loop_gain!$B$18,IF(Current_limit!M307=1,Current_limit!$B$12/(2*(Current_limit!N307-Helper_calcs!$B$15)),IF(OR(M307=2,M307=23),(Main!$B$18-Current_limit!O307)*Current_limit!O307/(Main!$B$18*loop_gain!$B$17*(Helper_calcs!$B$14-Helper_calcs!$B$15)),x)))</f>
        <v>1250969.3906943793</v>
      </c>
      <c r="Q307" s="161"/>
    </row>
    <row r="308" spans="1:17" x14ac:dyDescent="0.25">
      <c r="A308">
        <f t="shared" si="40"/>
        <v>3.6699999999999653</v>
      </c>
      <c r="B308">
        <f>Main!$B$19/A308</f>
        <v>1.3623978201635005</v>
      </c>
      <c r="D308" s="161">
        <f t="shared" si="33"/>
        <v>1.3623978201635005</v>
      </c>
      <c r="E308" s="161">
        <f>-B308*Main!$B$18-2*Main!$B$18*loop_gain!$B$17*loop_gain!$B$18</f>
        <v>-182.66877384196201</v>
      </c>
      <c r="F308" s="161">
        <f>2*Main!$B$18*loop_gain!$B$17*loop_gain!$B$18*Helper_calcs!$B$14*Current_limit!B308</f>
        <v>883.71662125341413</v>
      </c>
      <c r="G308" s="161">
        <f t="shared" si="35"/>
        <v>5.0262275730212229</v>
      </c>
      <c r="H308" s="161">
        <f>(Main!$B$18-Current_limit!G308)*Current_limit!G308/(Main!$B$18*loop_gain!$B$17*loop_gain!$B$18)</f>
        <v>0.42149792280490456</v>
      </c>
      <c r="I308" s="161">
        <f t="shared" si="36"/>
        <v>3.4785020771950905</v>
      </c>
      <c r="J308" s="161"/>
      <c r="K308" s="163">
        <f>IF(A308&gt;$B$15,IF(I308&gt;Helper_calcs!$B$15,23,3),0)</f>
        <v>0</v>
      </c>
      <c r="L308" s="162">
        <f t="shared" si="34"/>
        <v>2</v>
      </c>
      <c r="M308" s="162">
        <f t="shared" si="37"/>
        <v>2</v>
      </c>
      <c r="N308" s="161">
        <f t="shared" si="38"/>
        <v>3.55</v>
      </c>
      <c r="O308" s="161">
        <f t="shared" si="39"/>
        <v>4.8365122615804266</v>
      </c>
      <c r="P308" s="149">
        <f>IF(OR(M308=0,M308=3),loop_gain!$B$18,IF(Current_limit!M308=1,Current_limit!$B$12/(2*(Current_limit!N308-Helper_calcs!$B$15)),IF(OR(M308=2,M308=23),(Main!$B$18-Current_limit!O308)*Current_limit!O308/(Main!$B$18*loop_gain!$B$17*(Helper_calcs!$B$14-Helper_calcs!$B$15)),x)))</f>
        <v>1249866.3882592828</v>
      </c>
      <c r="Q308" s="161"/>
    </row>
    <row r="309" spans="1:17" x14ac:dyDescent="0.25">
      <c r="A309">
        <f t="shared" si="40"/>
        <v>3.6799999999999651</v>
      </c>
      <c r="B309">
        <f>Main!$B$19/A309</f>
        <v>1.358695652173926</v>
      </c>
      <c r="D309" s="161">
        <f t="shared" si="33"/>
        <v>1.358695652173926</v>
      </c>
      <c r="E309" s="161">
        <f>-B309*Main!$B$18-2*Main!$B$18*loop_gain!$B$17*loop_gain!$B$18</f>
        <v>-182.6243478260871</v>
      </c>
      <c r="F309" s="161">
        <f>2*Main!$B$18*loop_gain!$B$17*loop_gain!$B$18*Helper_calcs!$B$14*Current_limit!B309</f>
        <v>881.31521739131256</v>
      </c>
      <c r="G309" s="161">
        <f t="shared" si="35"/>
        <v>5.0127846958903408</v>
      </c>
      <c r="H309" s="161">
        <f>(Main!$B$18-Current_limit!G309)*Current_limit!G309/(Main!$B$18*loop_gain!$B$17*loop_gain!$B$18)</f>
        <v>0.421180927649491</v>
      </c>
      <c r="I309" s="161">
        <f t="shared" si="36"/>
        <v>3.4788190723505101</v>
      </c>
      <c r="J309" s="161"/>
      <c r="K309" s="163">
        <f>IF(A309&gt;$B$15,IF(I309&gt;Helper_calcs!$B$15,23,3),0)</f>
        <v>0</v>
      </c>
      <c r="L309" s="162">
        <f t="shared" si="34"/>
        <v>2</v>
      </c>
      <c r="M309" s="162">
        <f t="shared" si="37"/>
        <v>2</v>
      </c>
      <c r="N309" s="161">
        <f t="shared" si="38"/>
        <v>3.55</v>
      </c>
      <c r="O309" s="161">
        <f t="shared" si="39"/>
        <v>4.8233695652174369</v>
      </c>
      <c r="P309" s="149">
        <f>IF(OR(M309=0,M309=3),loop_gain!$B$18,IF(Current_limit!M309=1,Current_limit!$B$12/(2*(Current_limit!N309-Helper_calcs!$B$15)),IF(OR(M309=2,M309=23),(Main!$B$18-Current_limit!O309)*Current_limit!O309/(Main!$B$18*loop_gain!$B$17*(Helper_calcs!$B$14-Helper_calcs!$B$15)),x)))</f>
        <v>1248756.8838363425</v>
      </c>
      <c r="Q309" s="161"/>
    </row>
    <row r="310" spans="1:17" x14ac:dyDescent="0.25">
      <c r="A310">
        <f t="shared" si="40"/>
        <v>3.6899999999999649</v>
      </c>
      <c r="B310">
        <f>Main!$B$19/A310</f>
        <v>1.3550135501355143</v>
      </c>
      <c r="D310" s="161">
        <f t="shared" si="33"/>
        <v>1.3550135501355143</v>
      </c>
      <c r="E310" s="161">
        <f>-B310*Main!$B$18-2*Main!$B$18*loop_gain!$B$17*loop_gain!$B$18</f>
        <v>-182.58016260162617</v>
      </c>
      <c r="F310" s="161">
        <f>2*Main!$B$18*loop_gain!$B$17*loop_gain!$B$18*Helper_calcs!$B$14*Current_limit!B310</f>
        <v>878.92682926830093</v>
      </c>
      <c r="G310" s="161">
        <f t="shared" si="35"/>
        <v>4.9994164082758257</v>
      </c>
      <c r="H310" s="161">
        <f>(Main!$B$18-Current_limit!G310)*Current_limit!G310/(Main!$B$18*loop_gain!$B$17*loop_gain!$B$18)</f>
        <v>0.42086138138494888</v>
      </c>
      <c r="I310" s="161">
        <f t="shared" si="36"/>
        <v>3.4791386186150497</v>
      </c>
      <c r="J310" s="161"/>
      <c r="K310" s="163">
        <f>IF(A310&gt;$B$15,IF(I310&gt;Helper_calcs!$B$15,23,3),0)</f>
        <v>23</v>
      </c>
      <c r="L310" s="162">
        <f t="shared" si="34"/>
        <v>2</v>
      </c>
      <c r="M310" s="162">
        <f t="shared" si="37"/>
        <v>2</v>
      </c>
      <c r="N310" s="161">
        <f t="shared" si="38"/>
        <v>3.55</v>
      </c>
      <c r="O310" s="161">
        <f t="shared" si="39"/>
        <v>4.8102981029810756</v>
      </c>
      <c r="P310" s="149">
        <f>IF(OR(M310=0,M310=3),loop_gain!$B$18,IF(Current_limit!M310=1,Current_limit!$B$12/(2*(Current_limit!N310-Helper_calcs!$B$15)),IF(OR(M310=2,M310=23),(Main!$B$18-Current_limit!O310)*Current_limit!O310/(Main!$B$18*loop_gain!$B$17*(Helper_calcs!$B$14-Helper_calcs!$B$15)),x)))</f>
        <v>1247641.0316100139</v>
      </c>
      <c r="Q310" s="161"/>
    </row>
    <row r="311" spans="1:17" x14ac:dyDescent="0.25">
      <c r="A311">
        <f t="shared" si="40"/>
        <v>3.6999999999999647</v>
      </c>
      <c r="B311">
        <f>Main!$B$19/A311</f>
        <v>1.3513513513513642</v>
      </c>
      <c r="D311" s="161">
        <f t="shared" si="33"/>
        <v>1.3513513513513642</v>
      </c>
      <c r="E311" s="161">
        <f>-B311*Main!$B$18-2*Main!$B$18*loop_gain!$B$17*loop_gain!$B$18</f>
        <v>-182.53621621621636</v>
      </c>
      <c r="F311" s="161">
        <f>2*Main!$B$18*loop_gain!$B$17*loop_gain!$B$18*Helper_calcs!$B$14*Current_limit!B311</f>
        <v>876.55135135135959</v>
      </c>
      <c r="G311" s="161">
        <f t="shared" si="35"/>
        <v>4.9861220673779592</v>
      </c>
      <c r="H311" s="161">
        <f>(Main!$B$18-Current_limit!G311)*Current_limit!G311/(Main!$B$18*loop_gain!$B$17*loop_gain!$B$18)</f>
        <v>0.42053934028068851</v>
      </c>
      <c r="I311" s="161">
        <f t="shared" si="36"/>
        <v>3.4794606597193103</v>
      </c>
      <c r="J311" s="161"/>
      <c r="K311" s="163">
        <f>IF(A311&gt;$B$15,IF(I311&gt;Helper_calcs!$B$15,23,3),0)</f>
        <v>23</v>
      </c>
      <c r="L311" s="162">
        <f t="shared" si="34"/>
        <v>2</v>
      </c>
      <c r="M311" s="162">
        <f t="shared" si="37"/>
        <v>2</v>
      </c>
      <c r="N311" s="161">
        <f t="shared" si="38"/>
        <v>3.55</v>
      </c>
      <c r="O311" s="161">
        <f t="shared" si="39"/>
        <v>4.7972972972973427</v>
      </c>
      <c r="P311" s="149">
        <f>IF(OR(M311=0,M311=3),loop_gain!$B$18,IF(Current_limit!M311=1,Current_limit!$B$12/(2*(Current_limit!N311-Helper_calcs!$B$15)),IF(OR(M311=2,M311=23),(Main!$B$18-Current_limit!O311)*Current_limit!O311/(Main!$B$18*loop_gain!$B$17*(Helper_calcs!$B$14-Helper_calcs!$B$15)),x)))</f>
        <v>1246518.9830054739</v>
      </c>
      <c r="Q311" s="161"/>
    </row>
    <row r="312" spans="1:17" x14ac:dyDescent="0.25">
      <c r="A312">
        <f t="shared" si="40"/>
        <v>3.7099999999999644</v>
      </c>
      <c r="B312">
        <f>Main!$B$19/A312</f>
        <v>1.347708894878719</v>
      </c>
      <c r="D312" s="161">
        <f t="shared" si="33"/>
        <v>1.347708894878719</v>
      </c>
      <c r="E312" s="161">
        <f>-B312*Main!$B$18-2*Main!$B$18*loop_gain!$B$17*loop_gain!$B$18</f>
        <v>-182.49250673854462</v>
      </c>
      <c r="F312" s="161">
        <f>2*Main!$B$18*loop_gain!$B$17*loop_gain!$B$18*Helper_calcs!$B$14*Current_limit!B312</f>
        <v>874.18867924529127</v>
      </c>
      <c r="G312" s="161">
        <f t="shared" si="35"/>
        <v>4.9729010380219076</v>
      </c>
      <c r="H312" s="161">
        <f>(Main!$B$18-Current_limit!G312)*Current_limit!G312/(Main!$B$18*loop_gain!$B$17*loop_gain!$B$18)</f>
        <v>0.42021485957555949</v>
      </c>
      <c r="I312" s="161">
        <f t="shared" si="36"/>
        <v>3.4797851404244406</v>
      </c>
      <c r="J312" s="161"/>
      <c r="K312" s="163">
        <f>IF(A312&gt;$B$15,IF(I312&gt;Helper_calcs!$B$15,23,3),0)</f>
        <v>23</v>
      </c>
      <c r="L312" s="162">
        <f t="shared" si="34"/>
        <v>2</v>
      </c>
      <c r="M312" s="162">
        <f t="shared" si="37"/>
        <v>2</v>
      </c>
      <c r="N312" s="161">
        <f t="shared" si="38"/>
        <v>3.55</v>
      </c>
      <c r="O312" s="161">
        <f t="shared" si="39"/>
        <v>4.7843665768194521</v>
      </c>
      <c r="P312" s="149">
        <f>IF(OR(M312=0,M312=3),loop_gain!$B$18,IF(Current_limit!M312=1,Current_limit!$B$12/(2*(Current_limit!N312-Helper_calcs!$B$15)),IF(OR(M312=2,M312=23),(Main!$B$18-Current_limit!O312)*Current_limit!O312/(Main!$B$18*loop_gain!$B$17*(Helper_calcs!$B$14-Helper_calcs!$B$15)),x)))</f>
        <v>1245390.8867404889</v>
      </c>
      <c r="Q312" s="161"/>
    </row>
    <row r="313" spans="1:17" x14ac:dyDescent="0.25">
      <c r="A313">
        <f t="shared" si="40"/>
        <v>3.7199999999999642</v>
      </c>
      <c r="B313">
        <f>Main!$B$19/A313</f>
        <v>1.3440860215053894</v>
      </c>
      <c r="D313" s="161">
        <f t="shared" si="33"/>
        <v>1.3440860215053894</v>
      </c>
      <c r="E313" s="161">
        <f>-B313*Main!$B$18-2*Main!$B$18*loop_gain!$B$17*loop_gain!$B$18</f>
        <v>-182.44903225806468</v>
      </c>
      <c r="F313" s="161">
        <f>2*Main!$B$18*loop_gain!$B$17*loop_gain!$B$18*Helper_calcs!$B$14*Current_limit!B313</f>
        <v>871.83870967742769</v>
      </c>
      <c r="G313" s="161">
        <f t="shared" si="35"/>
        <v>4.9597526925414517</v>
      </c>
      <c r="H313" s="161">
        <f>(Main!$B$18-Current_limit!G313)*Current_limit!G313/(Main!$B$18*loop_gain!$B$17*loop_gain!$B$18)</f>
        <v>0.41988799349837952</v>
      </c>
      <c r="I313" s="161">
        <f t="shared" si="36"/>
        <v>3.4801120065016145</v>
      </c>
      <c r="J313" s="161"/>
      <c r="K313" s="163">
        <f>IF(A313&gt;$B$15,IF(I313&gt;Helper_calcs!$B$15,23,3),0)</f>
        <v>23</v>
      </c>
      <c r="L313" s="162">
        <f t="shared" si="34"/>
        <v>2</v>
      </c>
      <c r="M313" s="162">
        <f t="shared" si="37"/>
        <v>2</v>
      </c>
      <c r="N313" s="161">
        <f t="shared" si="38"/>
        <v>3.55</v>
      </c>
      <c r="O313" s="161">
        <f t="shared" si="39"/>
        <v>4.7715053763441322</v>
      </c>
      <c r="P313" s="149">
        <f>IF(OR(M313=0,M313=3),loop_gain!$B$18,IF(Current_limit!M313=1,Current_limit!$B$12/(2*(Current_limit!N313-Helper_calcs!$B$15)),IF(OR(M313=2,M313=23),(Main!$B$18-Current_limit!O313)*Current_limit!O313/(Main!$B$18*loop_gain!$B$17*(Helper_calcs!$B$14-Helper_calcs!$B$15)),x)))</f>
        <v>1244256.8888762137</v>
      </c>
      <c r="Q313" s="161"/>
    </row>
    <row r="314" spans="1:17" x14ac:dyDescent="0.25">
      <c r="A314">
        <f t="shared" si="40"/>
        <v>3.729999999999964</v>
      </c>
      <c r="B314">
        <f>Main!$B$19/A314</f>
        <v>1.3404825737265544</v>
      </c>
      <c r="D314" s="161">
        <f t="shared" si="33"/>
        <v>1.3404825737265544</v>
      </c>
      <c r="E314" s="161">
        <f>-B314*Main!$B$18-2*Main!$B$18*loop_gain!$B$17*loop_gain!$B$18</f>
        <v>-182.40579088471864</v>
      </c>
      <c r="F314" s="161">
        <f>2*Main!$B$18*loop_gain!$B$17*loop_gain!$B$18*Helper_calcs!$B$14*Current_limit!B314</f>
        <v>869.50134048258201</v>
      </c>
      <c r="G314" s="161">
        <f t="shared" si="35"/>
        <v>4.9466764106649235</v>
      </c>
      <c r="H314" s="161">
        <f>(Main!$B$18-Current_limit!G314)*Current_limit!G314/(Main!$B$18*loop_gain!$B$17*loop_gain!$B$18)</f>
        <v>0.41955879528800233</v>
      </c>
      <c r="I314" s="161">
        <f t="shared" si="36"/>
        <v>3.4804412047119966</v>
      </c>
      <c r="J314" s="161"/>
      <c r="K314" s="163">
        <f>IF(A314&gt;$B$15,IF(I314&gt;Helper_calcs!$B$15,23,3),0)</f>
        <v>23</v>
      </c>
      <c r="L314" s="162">
        <f t="shared" si="34"/>
        <v>2</v>
      </c>
      <c r="M314" s="162">
        <f t="shared" si="37"/>
        <v>2</v>
      </c>
      <c r="N314" s="161">
        <f t="shared" si="38"/>
        <v>3.55</v>
      </c>
      <c r="O314" s="161">
        <f t="shared" si="39"/>
        <v>4.7587131367292681</v>
      </c>
      <c r="P314" s="149">
        <f>IF(OR(M314=0,M314=3),loop_gain!$B$18,IF(Current_limit!M314=1,Current_limit!$B$12/(2*(Current_limit!N314-Helper_calcs!$B$15)),IF(OR(M314=2,M314=23),(Main!$B$18-Current_limit!O314)*Current_limit!O314/(Main!$B$18*loop_gain!$B$17*(Helper_calcs!$B$14-Helper_calcs!$B$15)),x)))</f>
        <v>1243117.1328669379</v>
      </c>
      <c r="Q314" s="161"/>
    </row>
    <row r="315" spans="1:17" x14ac:dyDescent="0.25">
      <c r="A315">
        <f t="shared" si="40"/>
        <v>3.7399999999999638</v>
      </c>
      <c r="B315">
        <f>Main!$B$19/A315</f>
        <v>1.336898395721938</v>
      </c>
      <c r="D315" s="161">
        <f t="shared" si="33"/>
        <v>1.336898395721938</v>
      </c>
      <c r="E315" s="161">
        <f>-B315*Main!$B$18-2*Main!$B$18*loop_gain!$B$17*loop_gain!$B$18</f>
        <v>-182.36278074866325</v>
      </c>
      <c r="F315" s="161">
        <f>2*Main!$B$18*loop_gain!$B$17*loop_gain!$B$18*Helper_calcs!$B$14*Current_limit!B315</f>
        <v>867.17647058824355</v>
      </c>
      <c r="G315" s="161">
        <f t="shared" si="35"/>
        <v>4.9336715794031596</v>
      </c>
      <c r="H315" s="161">
        <f>(Main!$B$18-Current_limit!G315)*Current_limit!G315/(Main!$B$18*loop_gain!$B$17*loop_gain!$B$18)</f>
        <v>0.41922731721293227</v>
      </c>
      <c r="I315" s="161">
        <f t="shared" si="36"/>
        <v>3.4807726827870615</v>
      </c>
      <c r="J315" s="161"/>
      <c r="K315" s="163">
        <f>IF(A315&gt;$B$15,IF(I315&gt;Helper_calcs!$B$15,23,3),0)</f>
        <v>23</v>
      </c>
      <c r="L315" s="162">
        <f t="shared" si="34"/>
        <v>2</v>
      </c>
      <c r="M315" s="162">
        <f t="shared" si="37"/>
        <v>2</v>
      </c>
      <c r="N315" s="161">
        <f t="shared" si="38"/>
        <v>3.55</v>
      </c>
      <c r="O315" s="161">
        <f t="shared" si="39"/>
        <v>4.7459893048128796</v>
      </c>
      <c r="P315" s="149">
        <f>IF(OR(M315=0,M315=3),loop_gain!$B$18,IF(Current_limit!M315=1,Current_limit!$B$12/(2*(Current_limit!N315-Helper_calcs!$B$15)),IF(OR(M315=2,M315=23),(Main!$B$18-Current_limit!O315)*Current_limit!O315/(Main!$B$18*loop_gain!$B$17*(Helper_calcs!$B$14-Helper_calcs!$B$15)),x)))</f>
        <v>1241971.759608814</v>
      </c>
      <c r="Q315" s="161"/>
    </row>
    <row r="316" spans="1:17" x14ac:dyDescent="0.25">
      <c r="A316">
        <f t="shared" si="40"/>
        <v>3.7499999999999636</v>
      </c>
      <c r="B316">
        <f>Main!$B$19/A316</f>
        <v>1.3333333333333464</v>
      </c>
      <c r="D316" s="161">
        <f t="shared" si="33"/>
        <v>1.3333333333333464</v>
      </c>
      <c r="E316" s="161">
        <f>-B316*Main!$B$18-2*Main!$B$18*loop_gain!$B$17*loop_gain!$B$18</f>
        <v>-182.32000000000016</v>
      </c>
      <c r="F316" s="161">
        <f>2*Main!$B$18*loop_gain!$B$17*loop_gain!$B$18*Helper_calcs!$B$14*Current_limit!B316</f>
        <v>864.86400000000833</v>
      </c>
      <c r="G316" s="161">
        <f t="shared" si="35"/>
        <v>4.9207375929397141</v>
      </c>
      <c r="H316" s="161">
        <f>(Main!$B$18-Current_limit!G316)*Current_limit!G316/(Main!$B$18*loop_gain!$B$17*loop_gain!$B$18)</f>
        <v>0.41889361059050556</v>
      </c>
      <c r="I316" s="161">
        <f t="shared" si="36"/>
        <v>3.4811063894094967</v>
      </c>
      <c r="J316" s="161"/>
      <c r="K316" s="163">
        <f>IF(A316&gt;$B$15,IF(I316&gt;Helper_calcs!$B$15,23,3),0)</f>
        <v>23</v>
      </c>
      <c r="L316" s="162">
        <f t="shared" si="34"/>
        <v>2</v>
      </c>
      <c r="M316" s="162">
        <f t="shared" si="37"/>
        <v>2</v>
      </c>
      <c r="N316" s="161">
        <f t="shared" si="38"/>
        <v>3.55</v>
      </c>
      <c r="O316" s="161">
        <f t="shared" si="39"/>
        <v>4.7333333333333796</v>
      </c>
      <c r="P316" s="149">
        <f>IF(OR(M316=0,M316=3),loop_gain!$B$18,IF(Current_limit!M316=1,Current_limit!$B$12/(2*(Current_limit!N316-Helper_calcs!$B$15)),IF(OR(M316=2,M316=23),(Main!$B$18-Current_limit!O316)*Current_limit!O316/(Main!$B$18*loop_gain!$B$17*(Helper_calcs!$B$14-Helper_calcs!$B$15)),x)))</f>
        <v>1240820.9074875789</v>
      </c>
      <c r="Q316" s="161"/>
    </row>
    <row r="317" spans="1:17" x14ac:dyDescent="0.25">
      <c r="A317">
        <f t="shared" si="40"/>
        <v>3.7599999999999634</v>
      </c>
      <c r="B317">
        <f>Main!$B$19/A317</f>
        <v>1.329787234042566</v>
      </c>
      <c r="D317" s="161">
        <f t="shared" si="33"/>
        <v>1.329787234042566</v>
      </c>
      <c r="E317" s="161">
        <f>-B317*Main!$B$18-2*Main!$B$18*loop_gain!$B$17*loop_gain!$B$18</f>
        <v>-182.27744680851077</v>
      </c>
      <c r="F317" s="161">
        <f>2*Main!$B$18*loop_gain!$B$17*loop_gain!$B$18*Helper_calcs!$B$14*Current_limit!B317</f>
        <v>862.5638297872423</v>
      </c>
      <c r="G317" s="161">
        <f t="shared" si="35"/>
        <v>4.9078738525228944</v>
      </c>
      <c r="H317" s="161">
        <f>(Main!$B$18-Current_limit!G317)*Current_limit!G317/(Main!$B$18*loop_gain!$B$17*loop_gain!$B$18)</f>
        <v>0.41855772580563749</v>
      </c>
      <c r="I317" s="161">
        <f t="shared" si="36"/>
        <v>3.4814422741943623</v>
      </c>
      <c r="J317" s="161"/>
      <c r="K317" s="163">
        <f>IF(A317&gt;$B$15,IF(I317&gt;Helper_calcs!$B$15,23,3),0)</f>
        <v>23</v>
      </c>
      <c r="L317" s="162">
        <f t="shared" si="34"/>
        <v>2</v>
      </c>
      <c r="M317" s="162">
        <f t="shared" si="37"/>
        <v>2</v>
      </c>
      <c r="N317" s="161">
        <f t="shared" si="38"/>
        <v>3.55</v>
      </c>
      <c r="O317" s="161">
        <f t="shared" si="39"/>
        <v>4.7207446808511095</v>
      </c>
      <c r="P317" s="149">
        <f>IF(OR(M317=0,M317=3),loop_gain!$B$18,IF(Current_limit!M317=1,Current_limit!$B$12/(2*(Current_limit!N317-Helper_calcs!$B$15)),IF(OR(M317=2,M317=23),(Main!$B$18-Current_limit!O317)*Current_limit!O317/(Main!$B$18*loop_gain!$B$17*(Helper_calcs!$B$14-Helper_calcs!$B$15)),x)))</f>
        <v>1239664.7124252988</v>
      </c>
      <c r="Q317" s="161"/>
    </row>
    <row r="318" spans="1:17" x14ac:dyDescent="0.25">
      <c r="A318">
        <f t="shared" si="40"/>
        <v>3.7699999999999632</v>
      </c>
      <c r="B318">
        <f>Main!$B$19/A318</f>
        <v>1.326259946949615</v>
      </c>
      <c r="D318" s="161">
        <f t="shared" si="33"/>
        <v>1.326259946949615</v>
      </c>
      <c r="E318" s="161">
        <f>-B318*Main!$B$18-2*Main!$B$18*loop_gain!$B$17*loop_gain!$B$18</f>
        <v>-182.23511936339537</v>
      </c>
      <c r="F318" s="161">
        <f>2*Main!$B$18*loop_gain!$B$17*loop_gain!$B$18*Helper_calcs!$B$14*Current_limit!B318</f>
        <v>860.27586206897377</v>
      </c>
      <c r="G318" s="161">
        <f t="shared" si="35"/>
        <v>4.895079766360019</v>
      </c>
      <c r="H318" s="161">
        <f>(Main!$B$18-Current_limit!G318)*Current_limit!G318/(Main!$B$18*loop_gain!$B$17*loop_gain!$B$18)</f>
        <v>0.41821971232916028</v>
      </c>
      <c r="I318" s="161">
        <f t="shared" si="36"/>
        <v>3.4817802876708379</v>
      </c>
      <c r="J318" s="161"/>
      <c r="K318" s="163">
        <f>IF(A318&gt;$B$15,IF(I318&gt;Helper_calcs!$B$15,23,3),0)</f>
        <v>23</v>
      </c>
      <c r="L318" s="162">
        <f t="shared" si="34"/>
        <v>2</v>
      </c>
      <c r="M318" s="162">
        <f t="shared" si="37"/>
        <v>2</v>
      </c>
      <c r="N318" s="161">
        <f t="shared" si="38"/>
        <v>3.55</v>
      </c>
      <c r="O318" s="161">
        <f t="shared" si="39"/>
        <v>4.7082228116711331</v>
      </c>
      <c r="P318" s="149">
        <f>IF(OR(M318=0,M318=3),loop_gain!$B$18,IF(Current_limit!M318=1,Current_limit!$B$12/(2*(Current_limit!N318-Helper_calcs!$B$15)),IF(OR(M318=2,M318=23),(Main!$B$18-Current_limit!O318)*Current_limit!O318/(Main!$B$18*loop_gain!$B$17*(Helper_calcs!$B$14-Helper_calcs!$B$15)),x)))</f>
        <v>1238503.307926161</v>
      </c>
      <c r="Q318" s="161"/>
    </row>
    <row r="319" spans="1:17" x14ac:dyDescent="0.25">
      <c r="A319">
        <f t="shared" si="40"/>
        <v>3.7799999999999629</v>
      </c>
      <c r="B319">
        <f>Main!$B$19/A319</f>
        <v>1.3227513227513357</v>
      </c>
      <c r="D319" s="161">
        <f t="shared" si="33"/>
        <v>1.3227513227513357</v>
      </c>
      <c r="E319" s="161">
        <f>-B319*Main!$B$18-2*Main!$B$18*loop_gain!$B$17*loop_gain!$B$18</f>
        <v>-182.19301587301601</v>
      </c>
      <c r="F319" s="161">
        <f>2*Main!$B$18*loop_gain!$B$17*loop_gain!$B$18*Helper_calcs!$B$14*Current_limit!B319</f>
        <v>858.0000000000083</v>
      </c>
      <c r="G319" s="161">
        <f t="shared" si="35"/>
        <v>4.8823547495134374</v>
      </c>
      <c r="H319" s="161">
        <f>(Main!$B$18-Current_limit!G319)*Current_limit!G319/(Main!$B$18*loop_gain!$B$17*loop_gain!$B$18)</f>
        <v>0.41787961873574836</v>
      </c>
      <c r="I319" s="161">
        <f t="shared" si="36"/>
        <v>3.4821203812642487</v>
      </c>
      <c r="J319" s="161"/>
      <c r="K319" s="163">
        <f>IF(A319&gt;$B$15,IF(I319&gt;Helper_calcs!$B$15,23,3),0)</f>
        <v>23</v>
      </c>
      <c r="L319" s="162">
        <f t="shared" si="34"/>
        <v>2</v>
      </c>
      <c r="M319" s="162">
        <f t="shared" si="37"/>
        <v>2</v>
      </c>
      <c r="N319" s="161">
        <f t="shared" si="38"/>
        <v>3.55</v>
      </c>
      <c r="O319" s="161">
        <f t="shared" si="39"/>
        <v>4.6957671957672416</v>
      </c>
      <c r="P319" s="149">
        <f>IF(OR(M319=0,M319=3),loop_gain!$B$18,IF(Current_limit!M319=1,Current_limit!$B$12/(2*(Current_limit!N319-Helper_calcs!$B$15)),IF(OR(M319=2,M319=23),(Main!$B$18-Current_limit!O319)*Current_limit!O319/(Main!$B$18*loop_gain!$B$17*(Helper_calcs!$B$14-Helper_calcs!$B$15)),x)))</f>
        <v>1237336.8251213264</v>
      </c>
      <c r="Q319" s="161"/>
    </row>
    <row r="320" spans="1:17" x14ac:dyDescent="0.25">
      <c r="A320">
        <f t="shared" si="40"/>
        <v>3.7899999999999627</v>
      </c>
      <c r="B320">
        <f>Main!$B$19/A320</f>
        <v>1.3192612137203297</v>
      </c>
      <c r="D320" s="161">
        <f t="shared" si="33"/>
        <v>1.3192612137203297</v>
      </c>
      <c r="E320" s="161">
        <f>-B320*Main!$B$18-2*Main!$B$18*loop_gain!$B$17*loop_gain!$B$18</f>
        <v>-182.15113456464394</v>
      </c>
      <c r="F320" s="161">
        <f>2*Main!$B$18*loop_gain!$B$17*loop_gain!$B$18*Helper_calcs!$B$14*Current_limit!B320</f>
        <v>855.73614775726423</v>
      </c>
      <c r="G320" s="161">
        <f t="shared" si="35"/>
        <v>4.8696982237985589</v>
      </c>
      <c r="H320" s="161">
        <f>(Main!$B$18-Current_limit!G320)*Current_limit!G320/(Main!$B$18*loop_gain!$B$17*loop_gain!$B$18)</f>
        <v>0.41753749272145102</v>
      </c>
      <c r="I320" s="161">
        <f t="shared" si="36"/>
        <v>3.4824625072785453</v>
      </c>
      <c r="J320" s="161"/>
      <c r="K320" s="163">
        <f>IF(A320&gt;$B$15,IF(I320&gt;Helper_calcs!$B$15,23,3),0)</f>
        <v>23</v>
      </c>
      <c r="L320" s="162">
        <f t="shared" si="34"/>
        <v>2</v>
      </c>
      <c r="M320" s="162">
        <f t="shared" si="37"/>
        <v>2</v>
      </c>
      <c r="N320" s="161">
        <f t="shared" si="38"/>
        <v>3.55</v>
      </c>
      <c r="O320" s="161">
        <f t="shared" si="39"/>
        <v>4.6833773087071702</v>
      </c>
      <c r="P320" s="149">
        <f>IF(OR(M320=0,M320=3),loop_gain!$B$18,IF(Current_limit!M320=1,Current_limit!$B$12/(2*(Current_limit!N320-Helper_calcs!$B$15)),IF(OR(M320=2,M320=23),(Main!$B$18-Current_limit!O320)*Current_limit!O320/(Main!$B$18*loop_gain!$B$17*(Helper_calcs!$B$14-Helper_calcs!$B$15)),x)))</f>
        <v>1236165.392812873</v>
      </c>
      <c r="Q320" s="161"/>
    </row>
    <row r="321" spans="1:17" x14ac:dyDescent="0.25">
      <c r="A321">
        <f t="shared" si="40"/>
        <v>3.7999999999999625</v>
      </c>
      <c r="B321">
        <f>Main!$B$19/A321</f>
        <v>1.3157894736842235</v>
      </c>
      <c r="D321" s="161">
        <f t="shared" si="33"/>
        <v>1.3157894736842235</v>
      </c>
      <c r="E321" s="161">
        <f>-B321*Main!$B$18-2*Main!$B$18*loop_gain!$B$17*loop_gain!$B$18</f>
        <v>-182.10947368421068</v>
      </c>
      <c r="F321" s="161">
        <f>2*Main!$B$18*loop_gain!$B$17*loop_gain!$B$18*Helper_calcs!$B$14*Current_limit!B321</f>
        <v>853.48421052632409</v>
      </c>
      <c r="G321" s="161">
        <f t="shared" si="35"/>
        <v>4.8571096176837063</v>
      </c>
      <c r="H321" s="161">
        <f>(Main!$B$18-Current_limit!G321)*Current_limit!G321/(Main!$B$18*loop_gain!$B$17*loop_gain!$B$18)</f>
        <v>0.41719338112083837</v>
      </c>
      <c r="I321" s="161">
        <f t="shared" si="36"/>
        <v>3.4828066188791613</v>
      </c>
      <c r="J321" s="161"/>
      <c r="K321" s="163">
        <f>IF(A321&gt;$B$15,IF(I321&gt;Helper_calcs!$B$15,23,3),0)</f>
        <v>23</v>
      </c>
      <c r="L321" s="162">
        <f t="shared" si="34"/>
        <v>2</v>
      </c>
      <c r="M321" s="162">
        <f t="shared" si="37"/>
        <v>2</v>
      </c>
      <c r="N321" s="161">
        <f t="shared" si="38"/>
        <v>3.55</v>
      </c>
      <c r="O321" s="161">
        <f t="shared" si="39"/>
        <v>4.6710526315789931</v>
      </c>
      <c r="P321" s="149">
        <f>IF(OR(M321=0,M321=3),loop_gain!$B$18,IF(Current_limit!M321=1,Current_limit!$B$12/(2*(Current_limit!N321-Helper_calcs!$B$15)),IF(OR(M321=2,M321=23),(Main!$B$18-Current_limit!O321)*Current_limit!O321/(Main!$B$18*loop_gain!$B$17*(Helper_calcs!$B$14-Helper_calcs!$B$15)),x)))</f>
        <v>1234989.1375168432</v>
      </c>
      <c r="Q321" s="161"/>
    </row>
    <row r="322" spans="1:17" x14ac:dyDescent="0.25">
      <c r="A322">
        <f t="shared" si="40"/>
        <v>3.8099999999999623</v>
      </c>
      <c r="B322">
        <f>Main!$B$19/A322</f>
        <v>1.3123359580052623</v>
      </c>
      <c r="D322" s="161">
        <f t="shared" si="33"/>
        <v>1.3123359580052623</v>
      </c>
      <c r="E322" s="161">
        <f>-B322*Main!$B$18-2*Main!$B$18*loop_gain!$B$17*loop_gain!$B$18</f>
        <v>-182.06803149606313</v>
      </c>
      <c r="F322" s="161">
        <f>2*Main!$B$18*loop_gain!$B$17*loop_gain!$B$18*Helper_calcs!$B$14*Current_limit!B322</f>
        <v>851.24409448819722</v>
      </c>
      <c r="G322" s="161">
        <f t="shared" si="35"/>
        <v>4.8445883661917923</v>
      </c>
      <c r="H322" s="161">
        <f>(Main!$B$18-Current_limit!G322)*Current_limit!G322/(Main!$B$18*loop_gain!$B$17*loop_gain!$B$18)</f>
        <v>0.41684732992376927</v>
      </c>
      <c r="I322" s="161">
        <f t="shared" si="36"/>
        <v>3.4831526700762248</v>
      </c>
      <c r="J322" s="161"/>
      <c r="K322" s="163">
        <f>IF(A322&gt;$B$15,IF(I322&gt;Helper_calcs!$B$15,23,3),0)</f>
        <v>23</v>
      </c>
      <c r="L322" s="162">
        <f t="shared" si="34"/>
        <v>2</v>
      </c>
      <c r="M322" s="162">
        <f t="shared" si="37"/>
        <v>2</v>
      </c>
      <c r="N322" s="161">
        <f t="shared" si="38"/>
        <v>3.55</v>
      </c>
      <c r="O322" s="161">
        <f t="shared" si="39"/>
        <v>4.6587926509186808</v>
      </c>
      <c r="P322" s="149">
        <f>IF(OR(M322=0,M322=3),loop_gain!$B$18,IF(Current_limit!M322=1,Current_limit!$B$12/(2*(Current_limit!N322-Helper_calcs!$B$15)),IF(OR(M322=2,M322=23),(Main!$B$18-Current_limit!O322)*Current_limit!O322/(Main!$B$18*loop_gain!$B$17*(Helper_calcs!$B$14-Helper_calcs!$B$15)),x)))</f>
        <v>1233808.183505421</v>
      </c>
      <c r="Q322" s="161"/>
    </row>
    <row r="323" spans="1:17" x14ac:dyDescent="0.25">
      <c r="A323">
        <f t="shared" si="40"/>
        <v>3.8199999999999621</v>
      </c>
      <c r="B323">
        <f>Main!$B$19/A323</f>
        <v>1.3089005235602225</v>
      </c>
      <c r="D323" s="161">
        <f t="shared" si="33"/>
        <v>1.3089005235602225</v>
      </c>
      <c r="E323" s="161">
        <f>-B323*Main!$B$18-2*Main!$B$18*loop_gain!$B$17*loop_gain!$B$18</f>
        <v>-182.02680628272267</v>
      </c>
      <c r="F323" s="161">
        <f>2*Main!$B$18*loop_gain!$B$17*loop_gain!$B$18*Helper_calcs!$B$14*Current_limit!B323</f>
        <v>849.01570680629106</v>
      </c>
      <c r="G323" s="161">
        <f t="shared" si="35"/>
        <v>4.8321339108038543</v>
      </c>
      <c r="H323" s="161">
        <f>(Main!$B$18-Current_limit!G323)*Current_limit!G323/(Main!$B$18*loop_gain!$B$17*loop_gain!$B$18)</f>
        <v>0.41649938429179539</v>
      </c>
      <c r="I323" s="161">
        <f t="shared" si="36"/>
        <v>3.48350061570821</v>
      </c>
      <c r="J323" s="161"/>
      <c r="K323" s="163">
        <f>IF(A323&gt;$B$15,IF(I323&gt;Helper_calcs!$B$15,23,3),0)</f>
        <v>23</v>
      </c>
      <c r="L323" s="162">
        <f t="shared" si="34"/>
        <v>2</v>
      </c>
      <c r="M323" s="162">
        <f t="shared" si="37"/>
        <v>2</v>
      </c>
      <c r="N323" s="161">
        <f t="shared" si="38"/>
        <v>3.55</v>
      </c>
      <c r="O323" s="161">
        <f t="shared" si="39"/>
        <v>4.6465968586387891</v>
      </c>
      <c r="P323" s="149">
        <f>IF(OR(M323=0,M323=3),loop_gain!$B$18,IF(Current_limit!M323=1,Current_limit!$B$12/(2*(Current_limit!N323-Helper_calcs!$B$15)),IF(OR(M323=2,M323=23),(Main!$B$18-Current_limit!O323)*Current_limit!O323/(Main!$B$18*loop_gain!$B$17*(Helper_calcs!$B$14-Helper_calcs!$B$15)),x)))</f>
        <v>1232622.6528482549</v>
      </c>
      <c r="Q323" s="161"/>
    </row>
    <row r="324" spans="1:17" x14ac:dyDescent="0.25">
      <c r="A324">
        <f t="shared" si="40"/>
        <v>3.8299999999999619</v>
      </c>
      <c r="B324">
        <f>Main!$B$19/A324</f>
        <v>1.3054830287206396</v>
      </c>
      <c r="D324" s="161">
        <f t="shared" si="33"/>
        <v>1.3054830287206396</v>
      </c>
      <c r="E324" s="161">
        <f>-B324*Main!$B$18-2*Main!$B$18*loop_gain!$B$17*loop_gain!$B$18</f>
        <v>-181.98579634464767</v>
      </c>
      <c r="F324" s="161">
        <f>2*Main!$B$18*loop_gain!$B$17*loop_gain!$B$18*Helper_calcs!$B$14*Current_limit!B324</f>
        <v>846.79895561358535</v>
      </c>
      <c r="G324" s="161">
        <f t="shared" si="35"/>
        <v>4.8197456993641516</v>
      </c>
      <c r="H324" s="161">
        <f>(Main!$B$18-Current_limit!G324)*Current_limit!G324/(Main!$B$18*loop_gain!$B$17*loop_gain!$B$18)</f>
        <v>0.41614958857420131</v>
      </c>
      <c r="I324" s="161">
        <f t="shared" si="36"/>
        <v>3.4838504114258027</v>
      </c>
      <c r="J324" s="161"/>
      <c r="K324" s="163">
        <f>IF(A324&gt;$B$15,IF(I324&gt;Helper_calcs!$B$15,23,3),0)</f>
        <v>23</v>
      </c>
      <c r="L324" s="162">
        <f t="shared" si="34"/>
        <v>2</v>
      </c>
      <c r="M324" s="162">
        <f t="shared" si="37"/>
        <v>2</v>
      </c>
      <c r="N324" s="161">
        <f t="shared" si="38"/>
        <v>3.55</v>
      </c>
      <c r="O324" s="161">
        <f t="shared" si="39"/>
        <v>4.6344647519582702</v>
      </c>
      <c r="P324" s="149">
        <f>IF(OR(M324=0,M324=3),loop_gain!$B$18,IF(Current_limit!M324=1,Current_limit!$B$12/(2*(Current_limit!N324-Helper_calcs!$B$15)),IF(OR(M324=2,M324=23),(Main!$B$18-Current_limit!O324)*Current_limit!O324/(Main!$B$18*loop_gain!$B$17*(Helper_calcs!$B$14-Helper_calcs!$B$15)),x)))</f>
        <v>1231432.6654529448</v>
      </c>
      <c r="Q324" s="161"/>
    </row>
    <row r="325" spans="1:17" x14ac:dyDescent="0.25">
      <c r="A325">
        <f t="shared" si="40"/>
        <v>3.8399999999999617</v>
      </c>
      <c r="B325">
        <f>Main!$B$19/A325</f>
        <v>1.3020833333333464</v>
      </c>
      <c r="D325" s="161">
        <f t="shared" si="33"/>
        <v>1.3020833333333464</v>
      </c>
      <c r="E325" s="161">
        <f>-B325*Main!$B$18-2*Main!$B$18*loop_gain!$B$17*loop_gain!$B$18</f>
        <v>-181.94500000000016</v>
      </c>
      <c r="F325" s="161">
        <f>2*Main!$B$18*loop_gain!$B$17*loop_gain!$B$18*Helper_calcs!$B$14*Current_limit!B325</f>
        <v>844.5937500000083</v>
      </c>
      <c r="G325" s="161">
        <f t="shared" si="35"/>
        <v>4.8074231859872194</v>
      </c>
      <c r="H325" s="161">
        <f>(Main!$B$18-Current_limit!G325)*Current_limit!G325/(Main!$B$18*loop_gain!$B$17*loop_gain!$B$18)</f>
        <v>0.4157979863237028</v>
      </c>
      <c r="I325" s="161">
        <f t="shared" si="36"/>
        <v>3.4842020136762959</v>
      </c>
      <c r="J325" s="161"/>
      <c r="K325" s="163">
        <f>IF(A325&gt;$B$15,IF(I325&gt;Helper_calcs!$B$15,23,3),0)</f>
        <v>23</v>
      </c>
      <c r="L325" s="162">
        <f t="shared" si="34"/>
        <v>2</v>
      </c>
      <c r="M325" s="162">
        <f t="shared" si="37"/>
        <v>2</v>
      </c>
      <c r="N325" s="161">
        <f t="shared" si="38"/>
        <v>3.55</v>
      </c>
      <c r="O325" s="161">
        <f t="shared" si="39"/>
        <v>4.6223958333333792</v>
      </c>
      <c r="P325" s="149">
        <f>IF(OR(M325=0,M325=3),loop_gain!$B$18,IF(Current_limit!M325=1,Current_limit!$B$12/(2*(Current_limit!N325-Helper_calcs!$B$15)),IF(OR(M325=2,M325=23),(Main!$B$18-Current_limit!O325)*Current_limit!O325/(Main!$B$18*loop_gain!$B$17*(Helper_calcs!$B$14-Helper_calcs!$B$15)),x)))</f>
        <v>1230238.3391047178</v>
      </c>
      <c r="Q325" s="161"/>
    </row>
    <row r="326" spans="1:17" x14ac:dyDescent="0.25">
      <c r="A326">
        <f t="shared" si="40"/>
        <v>3.8499999999999615</v>
      </c>
      <c r="B326">
        <f>Main!$B$19/A326</f>
        <v>1.2987012987013118</v>
      </c>
      <c r="D326" s="161">
        <f t="shared" si="33"/>
        <v>1.2987012987013118</v>
      </c>
      <c r="E326" s="161">
        <f>-B326*Main!$B$18-2*Main!$B$18*loop_gain!$B$17*loop_gain!$B$18</f>
        <v>-181.90441558441574</v>
      </c>
      <c r="F326" s="161">
        <f>2*Main!$B$18*loop_gain!$B$17*loop_gain!$B$18*Helper_calcs!$B$14*Current_limit!B326</f>
        <v>842.40000000000839</v>
      </c>
      <c r="G326" s="161">
        <f t="shared" si="35"/>
        <v>4.7951658309664138</v>
      </c>
      <c r="H326" s="161">
        <f>(Main!$B$18-Current_limit!G326)*Current_limit!G326/(Main!$B$18*loop_gain!$B$17*loop_gain!$B$18)</f>
        <v>0.41544462031179835</v>
      </c>
      <c r="I326" s="161">
        <f t="shared" si="36"/>
        <v>3.4845553796882021</v>
      </c>
      <c r="J326" s="161"/>
      <c r="K326" s="163">
        <f>IF(A326&gt;$B$15,IF(I326&gt;Helper_calcs!$B$15,23,3),0)</f>
        <v>23</v>
      </c>
      <c r="L326" s="162">
        <f t="shared" si="34"/>
        <v>2</v>
      </c>
      <c r="M326" s="162">
        <f t="shared" si="37"/>
        <v>2</v>
      </c>
      <c r="N326" s="161">
        <f t="shared" si="38"/>
        <v>3.55</v>
      </c>
      <c r="O326" s="161">
        <f t="shared" si="39"/>
        <v>4.6103896103896567</v>
      </c>
      <c r="P326" s="149">
        <f>IF(OR(M326=0,M326=3),loop_gain!$B$18,IF(Current_limit!M326=1,Current_limit!$B$12/(2*(Current_limit!N326-Helper_calcs!$B$15)),IF(OR(M326=2,M326=23),(Main!$B$18-Current_limit!O326)*Current_limit!O326/(Main!$B$18*loop_gain!$B$17*(Helper_calcs!$B$14-Helper_calcs!$B$15)),x)))</f>
        <v>1229039.7895053031</v>
      </c>
      <c r="Q326" s="161"/>
    </row>
    <row r="327" spans="1:17" x14ac:dyDescent="0.25">
      <c r="A327">
        <f t="shared" si="40"/>
        <v>3.8599999999999612</v>
      </c>
      <c r="B327">
        <f>Main!$B$19/A327</f>
        <v>1.2953367875647799</v>
      </c>
      <c r="D327" s="161">
        <f t="shared" si="33"/>
        <v>1.2953367875647799</v>
      </c>
      <c r="E327" s="161">
        <f>-B327*Main!$B$18-2*Main!$B$18*loop_gain!$B$17*loop_gain!$B$18</f>
        <v>-181.86404145077736</v>
      </c>
      <c r="F327" s="161">
        <f>2*Main!$B$18*loop_gain!$B$17*loop_gain!$B$18*Helper_calcs!$B$14*Current_limit!B327</f>
        <v>840.21761658031926</v>
      </c>
      <c r="G327" s="161">
        <f t="shared" si="35"/>
        <v>4.7829731006841234</v>
      </c>
      <c r="H327" s="161">
        <f>(Main!$B$18-Current_limit!G327)*Current_limit!G327/(Main!$B$18*loop_gain!$B$17*loop_gain!$B$18)</f>
        <v>0.41508953254379011</v>
      </c>
      <c r="I327" s="161">
        <f t="shared" si="36"/>
        <v>3.4849104674562108</v>
      </c>
      <c r="J327" s="161"/>
      <c r="K327" s="163">
        <f>IF(A327&gt;$B$15,IF(I327&gt;Helper_calcs!$B$15,23,3),0)</f>
        <v>23</v>
      </c>
      <c r="L327" s="162">
        <f t="shared" si="34"/>
        <v>2</v>
      </c>
      <c r="M327" s="162">
        <f t="shared" si="37"/>
        <v>2</v>
      </c>
      <c r="N327" s="161">
        <f t="shared" si="38"/>
        <v>3.55</v>
      </c>
      <c r="O327" s="161">
        <f t="shared" si="39"/>
        <v>4.5984455958549679</v>
      </c>
      <c r="P327" s="149">
        <f>IF(OR(M327=0,M327=3),loop_gain!$B$18,IF(Current_limit!M327=1,Current_limit!$B$12/(2*(Current_limit!N327-Helper_calcs!$B$15)),IF(OR(M327=2,M327=23),(Main!$B$18-Current_limit!O327)*Current_limit!O327/(Main!$B$18*loop_gain!$B$17*(Helper_calcs!$B$14-Helper_calcs!$B$15)),x)))</f>
        <v>1227837.1303110274</v>
      </c>
      <c r="Q327" s="161"/>
    </row>
    <row r="328" spans="1:17" x14ac:dyDescent="0.25">
      <c r="A328">
        <f t="shared" si="40"/>
        <v>3.869999999999961</v>
      </c>
      <c r="B328">
        <f>Main!$B$19/A328</f>
        <v>1.2919896640827004</v>
      </c>
      <c r="D328" s="161">
        <f t="shared" si="33"/>
        <v>1.2919896640827004</v>
      </c>
      <c r="E328" s="161">
        <f>-B328*Main!$B$18-2*Main!$B$18*loop_gain!$B$17*loop_gain!$B$18</f>
        <v>-181.82387596899241</v>
      </c>
      <c r="F328" s="161">
        <f>2*Main!$B$18*loop_gain!$B$17*loop_gain!$B$18*Helper_calcs!$B$14*Current_limit!B328</f>
        <v>838.04651162791538</v>
      </c>
      <c r="G328" s="161">
        <f t="shared" si="35"/>
        <v>4.7708444675236326</v>
      </c>
      <c r="H328" s="161">
        <f>(Main!$B$18-Current_limit!G328)*Current_limit!G328/(Main!$B$18*loop_gain!$B$17*loop_gain!$B$18)</f>
        <v>0.41473276427348171</v>
      </c>
      <c r="I328" s="161">
        <f t="shared" si="36"/>
        <v>3.4852672357265133</v>
      </c>
      <c r="J328" s="161"/>
      <c r="K328" s="163">
        <f>IF(A328&gt;$B$15,IF(I328&gt;Helper_calcs!$B$15,23,3),0)</f>
        <v>23</v>
      </c>
      <c r="L328" s="162">
        <f t="shared" si="34"/>
        <v>2</v>
      </c>
      <c r="M328" s="162">
        <f t="shared" si="37"/>
        <v>2</v>
      </c>
      <c r="N328" s="161">
        <f t="shared" si="38"/>
        <v>3.55</v>
      </c>
      <c r="O328" s="161">
        <f t="shared" si="39"/>
        <v>4.5865633074935861</v>
      </c>
      <c r="P328" s="149">
        <f>IF(OR(M328=0,M328=3),loop_gain!$B$18,IF(Current_limit!M328=1,Current_limit!$B$12/(2*(Current_limit!N328-Helper_calcs!$B$15)),IF(OR(M328=2,M328=23),(Main!$B$18-Current_limit!O328)*Current_limit!O328/(Main!$B$18*loop_gain!$B$17*(Helper_calcs!$B$14-Helper_calcs!$B$15)),x)))</f>
        <v>1226630.4731701494</v>
      </c>
      <c r="Q328" s="161"/>
    </row>
    <row r="329" spans="1:17" x14ac:dyDescent="0.25">
      <c r="A329">
        <f t="shared" si="40"/>
        <v>3.8799999999999608</v>
      </c>
      <c r="B329">
        <f>Main!$B$19/A329</f>
        <v>1.288659793814446</v>
      </c>
      <c r="D329" s="161">
        <f t="shared" si="33"/>
        <v>1.288659793814446</v>
      </c>
      <c r="E329" s="161">
        <f>-B329*Main!$B$18-2*Main!$B$18*loop_gain!$B$17*loop_gain!$B$18</f>
        <v>-181.78391752577335</v>
      </c>
      <c r="F329" s="161">
        <f>2*Main!$B$18*loop_gain!$B$17*loop_gain!$B$18*Helper_calcs!$B$14*Current_limit!B329</f>
        <v>835.88659793815259</v>
      </c>
      <c r="G329" s="161">
        <f t="shared" si="35"/>
        <v>4.7587794097825551</v>
      </c>
      <c r="H329" s="161">
        <f>(Main!$B$18-Current_limit!G329)*Current_limit!G329/(Main!$B$18*loop_gain!$B$17*loop_gain!$B$18)</f>
        <v>0.41437435601755962</v>
      </c>
      <c r="I329" s="161">
        <f t="shared" si="36"/>
        <v>3.4856256439824458</v>
      </c>
      <c r="J329" s="161"/>
      <c r="K329" s="163">
        <f>IF(A329&gt;$B$15,IF(I329&gt;Helper_calcs!$B$15,23,3),0)</f>
        <v>23</v>
      </c>
      <c r="L329" s="162">
        <f t="shared" si="34"/>
        <v>2</v>
      </c>
      <c r="M329" s="162">
        <f t="shared" si="37"/>
        <v>2</v>
      </c>
      <c r="N329" s="161">
        <f t="shared" si="38"/>
        <v>3.55</v>
      </c>
      <c r="O329" s="161">
        <f t="shared" si="39"/>
        <v>4.574742268041283</v>
      </c>
      <c r="P329" s="149">
        <f>IF(OR(M329=0,M329=3),loop_gain!$B$18,IF(Current_limit!M329=1,Current_limit!$B$12/(2*(Current_limit!N329-Helper_calcs!$B$15)),IF(OR(M329=2,M329=23),(Main!$B$18-Current_limit!O329)*Current_limit!O329/(Main!$B$18*loop_gain!$B$17*(Helper_calcs!$B$14-Helper_calcs!$B$15)),x)))</f>
        <v>1225419.9277594483</v>
      </c>
      <c r="Q329" s="161"/>
    </row>
    <row r="330" spans="1:17" x14ac:dyDescent="0.25">
      <c r="A330">
        <f t="shared" si="40"/>
        <v>3.8899999999999606</v>
      </c>
      <c r="B330">
        <f>Main!$B$19/A330</f>
        <v>1.2853470437018124</v>
      </c>
      <c r="D330" s="161">
        <f t="shared" si="33"/>
        <v>1.2853470437018124</v>
      </c>
      <c r="E330" s="161">
        <f>-B330*Main!$B$18-2*Main!$B$18*loop_gain!$B$17*loop_gain!$B$18</f>
        <v>-181.74416452442173</v>
      </c>
      <c r="F330" s="161">
        <f>2*Main!$B$18*loop_gain!$B$17*loop_gain!$B$18*Helper_calcs!$B$14*Current_limit!B330</f>
        <v>833.73778920309314</v>
      </c>
      <c r="G330" s="161">
        <f t="shared" si="35"/>
        <v>4.7467774115876686</v>
      </c>
      <c r="H330" s="161">
        <f>(Main!$B$18-Current_limit!G330)*Current_limit!G330/(Main!$B$18*loop_gain!$B$17*loop_gain!$B$18)</f>
        <v>0.4140143475696621</v>
      </c>
      <c r="I330" s="161">
        <f t="shared" si="36"/>
        <v>3.4859856524303381</v>
      </c>
      <c r="J330" s="161"/>
      <c r="K330" s="163">
        <f>IF(A330&gt;$B$15,IF(I330&gt;Helper_calcs!$B$15,23,3),0)</f>
        <v>23</v>
      </c>
      <c r="L330" s="162">
        <f t="shared" si="34"/>
        <v>2</v>
      </c>
      <c r="M330" s="162">
        <f t="shared" si="37"/>
        <v>2</v>
      </c>
      <c r="N330" s="161">
        <f t="shared" si="38"/>
        <v>3.55</v>
      </c>
      <c r="O330" s="161">
        <f t="shared" si="39"/>
        <v>4.5629820051414338</v>
      </c>
      <c r="P330" s="149">
        <f>IF(OR(M330=0,M330=3),loop_gain!$B$18,IF(Current_limit!M330=1,Current_limit!$B$12/(2*(Current_limit!N330-Helper_calcs!$B$15)),IF(OR(M330=2,M330=23),(Main!$B$18-Current_limit!O330)*Current_limit!O330/(Main!$B$18*loop_gain!$B$17*(Helper_calcs!$B$14-Helper_calcs!$B$15)),x)))</f>
        <v>1224205.6018200822</v>
      </c>
      <c r="Q330" s="161"/>
    </row>
    <row r="331" spans="1:17" x14ac:dyDescent="0.25">
      <c r="A331">
        <f t="shared" si="40"/>
        <v>3.8999999999999604</v>
      </c>
      <c r="B331">
        <f>Main!$B$19/A331</f>
        <v>1.282051282051295</v>
      </c>
      <c r="D331" s="161">
        <f t="shared" si="33"/>
        <v>1.282051282051295</v>
      </c>
      <c r="E331" s="161">
        <f>-B331*Main!$B$18-2*Main!$B$18*loop_gain!$B$17*loop_gain!$B$18</f>
        <v>-181.70461538461552</v>
      </c>
      <c r="F331" s="161">
        <f>2*Main!$B$18*loop_gain!$B$17*loop_gain!$B$18*Helper_calcs!$B$14*Current_limit!B331</f>
        <v>831.60000000000832</v>
      </c>
      <c r="G331" s="161">
        <f t="shared" si="35"/>
        <v>4.7348379628114827</v>
      </c>
      <c r="H331" s="161">
        <f>(Main!$B$18-Current_limit!G331)*Current_limit!G331/(Main!$B$18*loop_gain!$B$17*loop_gain!$B$18)</f>
        <v>0.4136527780141534</v>
      </c>
      <c r="I331" s="161">
        <f t="shared" si="36"/>
        <v>3.4863472219858425</v>
      </c>
      <c r="J331" s="161"/>
      <c r="K331" s="163">
        <f>IF(A331&gt;$B$15,IF(I331&gt;Helper_calcs!$B$15,23,3),0)</f>
        <v>23</v>
      </c>
      <c r="L331" s="162">
        <f t="shared" si="34"/>
        <v>2</v>
      </c>
      <c r="M331" s="162">
        <f t="shared" si="37"/>
        <v>2</v>
      </c>
      <c r="N331" s="161">
        <f t="shared" si="38"/>
        <v>3.55</v>
      </c>
      <c r="O331" s="161">
        <f t="shared" si="39"/>
        <v>4.5512820512820973</v>
      </c>
      <c r="P331" s="149">
        <f>IF(OR(M331=0,M331=3),loop_gain!$B$18,IF(Current_limit!M331=1,Current_limit!$B$12/(2*(Current_limit!N331-Helper_calcs!$B$15)),IF(OR(M331=2,M331=23),(Main!$B$18-Current_limit!O331)*Current_limit!O331/(Main!$B$18*loop_gain!$B$17*(Helper_calcs!$B$14-Helper_calcs!$B$15)),x)))</f>
        <v>1222987.6011927347</v>
      </c>
      <c r="Q331" s="161"/>
    </row>
    <row r="332" spans="1:17" x14ac:dyDescent="0.25">
      <c r="A332">
        <f t="shared" si="40"/>
        <v>3.9099999999999602</v>
      </c>
      <c r="B332">
        <f>Main!$B$19/A332</f>
        <v>1.2787723785166372</v>
      </c>
      <c r="D332" s="161">
        <f t="shared" si="33"/>
        <v>1.2787723785166372</v>
      </c>
      <c r="E332" s="161">
        <f>-B332*Main!$B$18-2*Main!$B$18*loop_gain!$B$17*loop_gain!$B$18</f>
        <v>-181.66526854219964</v>
      </c>
      <c r="F332" s="161">
        <f>2*Main!$B$18*loop_gain!$B$17*loop_gain!$B$18*Helper_calcs!$B$14*Current_limit!B332</f>
        <v>829.47314578005955</v>
      </c>
      <c r="G332" s="161">
        <f t="shared" si="35"/>
        <v>4.7229605589900761</v>
      </c>
      <c r="H332" s="161">
        <f>(Main!$B$18-Current_limit!G332)*Current_limit!G332/(Main!$B$18*loop_gain!$B$17*loop_gain!$B$18)</f>
        <v>0.41328968573959907</v>
      </c>
      <c r="I332" s="161">
        <f t="shared" si="36"/>
        <v>3.4867103142604021</v>
      </c>
      <c r="J332" s="161"/>
      <c r="K332" s="163">
        <f>IF(A332&gt;$B$15,IF(I332&gt;Helper_calcs!$B$15,23,3),0)</f>
        <v>23</v>
      </c>
      <c r="L332" s="162">
        <f t="shared" si="34"/>
        <v>2</v>
      </c>
      <c r="M332" s="162">
        <f t="shared" si="37"/>
        <v>2</v>
      </c>
      <c r="N332" s="161">
        <f t="shared" si="38"/>
        <v>3.55</v>
      </c>
      <c r="O332" s="161">
        <f t="shared" si="39"/>
        <v>4.539641943734062</v>
      </c>
      <c r="P332" s="149">
        <f>IF(OR(M332=0,M332=3),loop_gain!$B$18,IF(Current_limit!M332=1,Current_limit!$B$12/(2*(Current_limit!N332-Helper_calcs!$B$15)),IF(OR(M332=2,M332=23),(Main!$B$18-Current_limit!O332)*Current_limit!O332/(Main!$B$18*loop_gain!$B$17*(Helper_calcs!$B$14-Helper_calcs!$B$15)),x)))</f>
        <v>1221766.0298520629</v>
      </c>
      <c r="Q332" s="161"/>
    </row>
    <row r="333" spans="1:17" x14ac:dyDescent="0.25">
      <c r="A333">
        <f t="shared" si="40"/>
        <v>3.91999999999996</v>
      </c>
      <c r="B333">
        <f>Main!$B$19/A333</f>
        <v>1.2755102040816457</v>
      </c>
      <c r="D333" s="161">
        <f t="shared" si="33"/>
        <v>1.2755102040816457</v>
      </c>
      <c r="E333" s="161">
        <f>-B333*Main!$B$18-2*Main!$B$18*loop_gain!$B$17*loop_gain!$B$18</f>
        <v>-181.62612244897974</v>
      </c>
      <c r="F333" s="161">
        <f>2*Main!$B$18*loop_gain!$B$17*loop_gain!$B$18*Helper_calcs!$B$14*Current_limit!B333</f>
        <v>827.35714285715119</v>
      </c>
      <c r="G333" s="161">
        <f t="shared" si="35"/>
        <v>4.7111447012424241</v>
      </c>
      <c r="H333" s="161">
        <f>(Main!$B$18-Current_limit!G333)*Current_limit!G333/(Main!$B$18*loop_gain!$B$17*loop_gain!$B$18)</f>
        <v>0.41292510845195435</v>
      </c>
      <c r="I333" s="161">
        <f t="shared" si="36"/>
        <v>3.4870748915480454</v>
      </c>
      <c r="J333" s="161"/>
      <c r="K333" s="163">
        <f>IF(A333&gt;$B$15,IF(I333&gt;Helper_calcs!$B$15,23,3),0)</f>
        <v>23</v>
      </c>
      <c r="L333" s="162">
        <f t="shared" si="34"/>
        <v>2</v>
      </c>
      <c r="M333" s="162">
        <f t="shared" si="37"/>
        <v>2</v>
      </c>
      <c r="N333" s="161">
        <f t="shared" si="38"/>
        <v>3.55</v>
      </c>
      <c r="O333" s="161">
        <f t="shared" si="39"/>
        <v>4.5280612244898419</v>
      </c>
      <c r="P333" s="149">
        <f>IF(OR(M333=0,M333=3),loop_gain!$B$18,IF(Current_limit!M333=1,Current_limit!$B$12/(2*(Current_limit!N333-Helper_calcs!$B$15)),IF(OR(M333=2,M333=23),(Main!$B$18-Current_limit!O333)*Current_limit!O333/(Main!$B$18*loop_gain!$B$17*(Helper_calcs!$B$14-Helper_calcs!$B$15)),x)))</f>
        <v>1220540.9899404643</v>
      </c>
      <c r="Q333" s="161"/>
    </row>
    <row r="334" spans="1:17" x14ac:dyDescent="0.25">
      <c r="A334">
        <f t="shared" si="40"/>
        <v>3.9299999999999597</v>
      </c>
      <c r="B334">
        <f>Main!$B$19/A334</f>
        <v>1.2722646310432699</v>
      </c>
      <c r="D334" s="161">
        <f t="shared" si="33"/>
        <v>1.2722646310432699</v>
      </c>
      <c r="E334" s="161">
        <f>-B334*Main!$B$18-2*Main!$B$18*loop_gain!$B$17*loop_gain!$B$18</f>
        <v>-181.58717557251924</v>
      </c>
      <c r="F334" s="161">
        <f>2*Main!$B$18*loop_gain!$B$17*loop_gain!$B$18*Helper_calcs!$B$14*Current_limit!B334</f>
        <v>825.25190839695483</v>
      </c>
      <c r="G334" s="161">
        <f t="shared" si="35"/>
        <v>4.6993898961912253</v>
      </c>
      <c r="H334" s="161">
        <f>(Main!$B$18-Current_limit!G334)*Current_limit!G334/(Main!$B$18*loop_gain!$B$17*loop_gain!$B$18)</f>
        <v>0.41255908318747631</v>
      </c>
      <c r="I334" s="161">
        <f t="shared" si="36"/>
        <v>3.4874409168125275</v>
      </c>
      <c r="J334" s="161"/>
      <c r="K334" s="163">
        <f>IF(A334&gt;$B$15,IF(I334&gt;Helper_calcs!$B$15,23,3),0)</f>
        <v>23</v>
      </c>
      <c r="L334" s="162">
        <f t="shared" si="34"/>
        <v>2</v>
      </c>
      <c r="M334" s="162">
        <f t="shared" si="37"/>
        <v>2</v>
      </c>
      <c r="N334" s="161">
        <f t="shared" si="38"/>
        <v>3.55</v>
      </c>
      <c r="O334" s="161">
        <f t="shared" si="39"/>
        <v>4.5165394402036076</v>
      </c>
      <c r="P334" s="149">
        <f>IF(OR(M334=0,M334=3),loop_gain!$B$18,IF(Current_limit!M334=1,Current_limit!$B$12/(2*(Current_limit!N334-Helper_calcs!$B$15)),IF(OR(M334=2,M334=23),(Main!$B$18-Current_limit!O334)*Current_limit!O334/(Main!$B$18*loop_gain!$B$17*(Helper_calcs!$B$14-Helper_calcs!$B$15)),x)))</f>
        <v>1219312.5818011756</v>
      </c>
      <c r="Q334" s="161"/>
    </row>
    <row r="335" spans="1:17" x14ac:dyDescent="0.25">
      <c r="A335">
        <f t="shared" si="40"/>
        <v>3.9399999999999595</v>
      </c>
      <c r="B335">
        <f>Main!$B$19/A335</f>
        <v>1.269035532994937</v>
      </c>
      <c r="D335" s="161">
        <f t="shared" si="33"/>
        <v>1.269035532994937</v>
      </c>
      <c r="E335" s="161">
        <f>-B335*Main!$B$18-2*Main!$B$18*loop_gain!$B$17*loop_gain!$B$18</f>
        <v>-181.54842639593923</v>
      </c>
      <c r="F335" s="161">
        <f>2*Main!$B$18*loop_gain!$B$17*loop_gain!$B$18*Helper_calcs!$B$14*Current_limit!B335</f>
        <v>823.15736040609977</v>
      </c>
      <c r="G335" s="161">
        <f t="shared" si="35"/>
        <v>4.6876956558849674</v>
      </c>
      <c r="H335" s="161">
        <f>(Main!$B$18-Current_limit!G335)*Current_limit!G335/(Main!$B$18*loop_gain!$B$17*loop_gain!$B$18)</f>
        <v>0.41219164632535854</v>
      </c>
      <c r="I335" s="161">
        <f t="shared" si="36"/>
        <v>3.4878083536746369</v>
      </c>
      <c r="J335" s="161"/>
      <c r="K335" s="163">
        <f>IF(A335&gt;$B$15,IF(I335&gt;Helper_calcs!$B$15,23,3),0)</f>
        <v>23</v>
      </c>
      <c r="L335" s="162">
        <f t="shared" si="34"/>
        <v>2</v>
      </c>
      <c r="M335" s="162">
        <f t="shared" si="37"/>
        <v>2</v>
      </c>
      <c r="N335" s="161">
        <f t="shared" si="38"/>
        <v>3.55</v>
      </c>
      <c r="O335" s="161">
        <f t="shared" si="39"/>
        <v>4.505076142132026</v>
      </c>
      <c r="P335" s="149">
        <f>IF(OR(M335=0,M335=3),loop_gain!$B$18,IF(Current_limit!M335=1,Current_limit!$B$12/(2*(Current_limit!N335-Helper_calcs!$B$15)),IF(OR(M335=2,M335=23),(Main!$B$18-Current_limit!O335)*Current_limit!O335/(Main!$B$18*loop_gain!$B$17*(Helper_calcs!$B$14-Helper_calcs!$B$15)),x)))</f>
        <v>1218080.9040107196</v>
      </c>
      <c r="Q335" s="161"/>
    </row>
    <row r="336" spans="1:17" x14ac:dyDescent="0.25">
      <c r="A336">
        <f t="shared" si="40"/>
        <v>3.9499999999999593</v>
      </c>
      <c r="B336">
        <f>Main!$B$19/A336</f>
        <v>1.2658227848101395</v>
      </c>
      <c r="D336" s="161">
        <f t="shared" si="33"/>
        <v>1.2658227848101395</v>
      </c>
      <c r="E336" s="161">
        <f>-B336*Main!$B$18-2*Main!$B$18*loop_gain!$B$17*loop_gain!$B$18</f>
        <v>-181.50987341772168</v>
      </c>
      <c r="F336" s="161">
        <f>2*Main!$B$18*loop_gain!$B$17*loop_gain!$B$18*Helper_calcs!$B$14*Current_limit!B336</f>
        <v>821.07341772152733</v>
      </c>
      <c r="G336" s="161">
        <f t="shared" si="35"/>
        <v>4.6760614977214994</v>
      </c>
      <c r="H336" s="161">
        <f>(Main!$B$18-Current_limit!G336)*Current_limit!G336/(Main!$B$18*loop_gain!$B$17*loop_gain!$B$18)</f>
        <v>0.41182283360010297</v>
      </c>
      <c r="I336" s="161">
        <f t="shared" si="36"/>
        <v>3.4881771663998955</v>
      </c>
      <c r="J336" s="161"/>
      <c r="K336" s="163">
        <f>IF(A336&gt;$B$15,IF(I336&gt;Helper_calcs!$B$15,23,3),0)</f>
        <v>23</v>
      </c>
      <c r="L336" s="162">
        <f t="shared" si="34"/>
        <v>2</v>
      </c>
      <c r="M336" s="162">
        <f t="shared" si="37"/>
        <v>2</v>
      </c>
      <c r="N336" s="161">
        <f t="shared" si="38"/>
        <v>3.55</v>
      </c>
      <c r="O336" s="161">
        <f t="shared" si="39"/>
        <v>4.4936708860759955</v>
      </c>
      <c r="P336" s="149">
        <f>IF(OR(M336=0,M336=3),loop_gain!$B$18,IF(Current_limit!M336=1,Current_limit!$B$12/(2*(Current_limit!N336-Helper_calcs!$B$15)),IF(OR(M336=2,M336=23),(Main!$B$18-Current_limit!O336)*Current_limit!O336/(Main!$B$18*loop_gain!$B$17*(Helper_calcs!$B$14-Helper_calcs!$B$15)),x)))</f>
        <v>1216846.0534107119</v>
      </c>
      <c r="Q336" s="161"/>
    </row>
    <row r="337" spans="1:17" x14ac:dyDescent="0.25">
      <c r="A337">
        <f t="shared" si="40"/>
        <v>3.9599999999999591</v>
      </c>
      <c r="B337">
        <f>Main!$B$19/A337</f>
        <v>1.2626262626262756</v>
      </c>
      <c r="D337" s="161">
        <f t="shared" si="33"/>
        <v>1.2626262626262756</v>
      </c>
      <c r="E337" s="161">
        <f>-B337*Main!$B$18-2*Main!$B$18*loop_gain!$B$17*loop_gain!$B$18</f>
        <v>-181.47151515151529</v>
      </c>
      <c r="F337" s="161">
        <f>2*Main!$B$18*loop_gain!$B$17*loop_gain!$B$18*Helper_calcs!$B$14*Current_limit!B337</f>
        <v>819.0000000000083</v>
      </c>
      <c r="G337" s="161">
        <f t="shared" si="35"/>
        <v>4.6644869443727535</v>
      </c>
      <c r="H337" s="161">
        <f>(Main!$B$18-Current_limit!G337)*Current_limit!G337/(Main!$B$18*loop_gain!$B$17*loop_gain!$B$18)</f>
        <v>0.4114526801136264</v>
      </c>
      <c r="I337" s="161">
        <f t="shared" si="36"/>
        <v>3.4885473198863695</v>
      </c>
      <c r="J337" s="161"/>
      <c r="K337" s="163">
        <f>IF(A337&gt;$B$15,IF(I337&gt;Helper_calcs!$B$15,23,3),0)</f>
        <v>23</v>
      </c>
      <c r="L337" s="162">
        <f t="shared" si="34"/>
        <v>2</v>
      </c>
      <c r="M337" s="162">
        <f t="shared" si="37"/>
        <v>2</v>
      </c>
      <c r="N337" s="161">
        <f t="shared" si="38"/>
        <v>3.55</v>
      </c>
      <c r="O337" s="161">
        <f t="shared" si="39"/>
        <v>4.482323232323278</v>
      </c>
      <c r="P337" s="149">
        <f>IF(OR(M337=0,M337=3),loop_gain!$B$18,IF(Current_limit!M337=1,Current_limit!$B$12/(2*(Current_limit!N337-Helper_calcs!$B$15)),IF(OR(M337=2,M337=23),(Main!$B$18-Current_limit!O337)*Current_limit!O337/(Main!$B$18*loop_gain!$B$17*(Helper_calcs!$B$14-Helper_calcs!$B$15)),x)))</f>
        <v>1215608.1251390458</v>
      </c>
      <c r="Q337" s="161"/>
    </row>
    <row r="338" spans="1:17" x14ac:dyDescent="0.25">
      <c r="A338">
        <f t="shared" si="40"/>
        <v>3.9699999999999589</v>
      </c>
      <c r="B338">
        <f>Main!$B$19/A338</f>
        <v>1.2594458438287284</v>
      </c>
      <c r="D338" s="161">
        <f t="shared" si="33"/>
        <v>1.2594458438287284</v>
      </c>
      <c r="E338" s="161">
        <f>-B338*Main!$B$18-2*Main!$B$18*loop_gain!$B$17*loop_gain!$B$18</f>
        <v>-181.43335012594474</v>
      </c>
      <c r="F338" s="161">
        <f>2*Main!$B$18*loop_gain!$B$17*loop_gain!$B$18*Helper_calcs!$B$14*Current_limit!B338</f>
        <v>816.93702770781692</v>
      </c>
      <c r="G338" s="161">
        <f t="shared" si="35"/>
        <v>4.6529715237109359</v>
      </c>
      <c r="H338" s="161">
        <f>(Main!$B$18-Current_limit!G338)*Current_limit!G338/(Main!$B$18*loop_gain!$B$17*loop_gain!$B$18)</f>
        <v>0.41108122034711841</v>
      </c>
      <c r="I338" s="161">
        <f t="shared" si="36"/>
        <v>3.4889187796528858</v>
      </c>
      <c r="J338" s="161"/>
      <c r="K338" s="163">
        <f>IF(A338&gt;$B$15,IF(I338&gt;Helper_calcs!$B$15,23,3),0)</f>
        <v>23</v>
      </c>
      <c r="L338" s="162">
        <f t="shared" si="34"/>
        <v>2</v>
      </c>
      <c r="M338" s="162">
        <f t="shared" si="37"/>
        <v>2</v>
      </c>
      <c r="N338" s="161">
        <f t="shared" si="38"/>
        <v>3.55</v>
      </c>
      <c r="O338" s="161">
        <f t="shared" si="39"/>
        <v>4.4710327455919856</v>
      </c>
      <c r="P338" s="149">
        <f>IF(OR(M338=0,M338=3),loop_gain!$B$18,IF(Current_limit!M338=1,Current_limit!$B$12/(2*(Current_limit!N338-Helper_calcs!$B$15)),IF(OR(M338=2,M338=23),(Main!$B$18-Current_limit!O338)*Current_limit!O338/(Main!$B$18*loop_gain!$B$17*(Helper_calcs!$B$14-Helper_calcs!$B$15)),x)))</f>
        <v>1214367.2126604628</v>
      </c>
      <c r="Q338" s="161"/>
    </row>
    <row r="339" spans="1:17" x14ac:dyDescent="0.25">
      <c r="A339">
        <f t="shared" si="40"/>
        <v>3.9799999999999587</v>
      </c>
      <c r="B339">
        <f>Main!$B$19/A339</f>
        <v>1.2562814070351889</v>
      </c>
      <c r="D339" s="161">
        <f t="shared" si="33"/>
        <v>1.2562814070351889</v>
      </c>
      <c r="E339" s="161">
        <f>-B339*Main!$B$18-2*Main!$B$18*loop_gain!$B$17*loop_gain!$B$18</f>
        <v>-181.39537688442226</v>
      </c>
      <c r="F339" s="161">
        <f>2*Main!$B$18*loop_gain!$B$17*loop_gain!$B$18*Helper_calcs!$B$14*Current_limit!B339</f>
        <v>814.8844221105611</v>
      </c>
      <c r="G339" s="161">
        <f t="shared" si="35"/>
        <v>4.6415147687358269</v>
      </c>
      <c r="H339" s="161">
        <f>(Main!$B$18-Current_limit!G339)*Current_limit!G339/(Main!$B$18*loop_gain!$B$17*loop_gain!$B$18)</f>
        <v>0.4107084881726446</v>
      </c>
      <c r="I339" s="161">
        <f t="shared" si="36"/>
        <v>3.489291511827358</v>
      </c>
      <c r="J339" s="161"/>
      <c r="K339" s="163">
        <f>IF(A339&gt;$B$15,IF(I339&gt;Helper_calcs!$B$15,23,3),0)</f>
        <v>23</v>
      </c>
      <c r="L339" s="162">
        <f t="shared" si="34"/>
        <v>2</v>
      </c>
      <c r="M339" s="162">
        <f t="shared" si="37"/>
        <v>2</v>
      </c>
      <c r="N339" s="161">
        <f t="shared" si="38"/>
        <v>3.55</v>
      </c>
      <c r="O339" s="161">
        <f t="shared" si="39"/>
        <v>4.4597989949749204</v>
      </c>
      <c r="P339" s="149">
        <f>IF(OR(M339=0,M339=3),loop_gain!$B$18,IF(Current_limit!M339=1,Current_limit!$B$12/(2*(Current_limit!N339-Helper_calcs!$B$15)),IF(OR(M339=2,M339=23),(Main!$B$18-Current_limit!O339)*Current_limit!O339/(Main!$B$18*loop_gain!$B$17*(Helper_calcs!$B$14-Helper_calcs!$B$15)),x)))</f>
        <v>1213123.4077965277</v>
      </c>
      <c r="Q339" s="161"/>
    </row>
    <row r="340" spans="1:17" x14ac:dyDescent="0.25">
      <c r="A340">
        <f t="shared" si="40"/>
        <v>3.9899999999999585</v>
      </c>
      <c r="B340">
        <f>Main!$B$19/A340</f>
        <v>1.2531328320802135</v>
      </c>
      <c r="D340" s="161">
        <f t="shared" si="33"/>
        <v>1.2531328320802135</v>
      </c>
      <c r="E340" s="161">
        <f>-B340*Main!$B$18-2*Main!$B$18*loop_gain!$B$17*loop_gain!$B$18</f>
        <v>-181.35759398496256</v>
      </c>
      <c r="F340" s="161">
        <f>2*Main!$B$18*loop_gain!$B$17*loop_gain!$B$18*Helper_calcs!$B$14*Current_limit!B340</f>
        <v>812.84210526316622</v>
      </c>
      <c r="G340" s="161">
        <f t="shared" si="35"/>
        <v>4.6301162175034873</v>
      </c>
      <c r="H340" s="161">
        <f>(Main!$B$18-Current_limit!G340)*Current_limit!G340/(Main!$B$18*loop_gain!$B$17*loop_gain!$B$18)</f>
        <v>0.41033451686451478</v>
      </c>
      <c r="I340" s="161">
        <f t="shared" si="36"/>
        <v>3.4896654831354872</v>
      </c>
      <c r="J340" s="161"/>
      <c r="K340" s="163">
        <f>IF(A340&gt;$B$15,IF(I340&gt;Helper_calcs!$B$15,23,3),0)</f>
        <v>23</v>
      </c>
      <c r="L340" s="162">
        <f t="shared" si="34"/>
        <v>2</v>
      </c>
      <c r="M340" s="162">
        <f t="shared" si="37"/>
        <v>2</v>
      </c>
      <c r="N340" s="161">
        <f t="shared" si="38"/>
        <v>3.55</v>
      </c>
      <c r="O340" s="161">
        <f t="shared" si="39"/>
        <v>4.4486215538847578</v>
      </c>
      <c r="P340" s="149">
        <f>IF(OR(M340=0,M340=3),loop_gain!$B$18,IF(Current_limit!M340=1,Current_limit!$B$12/(2*(Current_limit!N340-Helper_calcs!$B$15)),IF(OR(M340=2,M340=23),(Main!$B$18-Current_limit!O340)*Current_limit!O340/(Main!$B$18*loop_gain!$B$17*(Helper_calcs!$B$14-Helper_calcs!$B$15)),x)))</f>
        <v>1211876.800755017</v>
      </c>
      <c r="Q340" s="161"/>
    </row>
    <row r="341" spans="1:17" x14ac:dyDescent="0.25">
      <c r="A341">
        <f t="shared" si="40"/>
        <v>3.9999999999999583</v>
      </c>
      <c r="B341">
        <f>Main!$B$19/A341</f>
        <v>1.2500000000000131</v>
      </c>
      <c r="D341" s="161">
        <f t="shared" si="33"/>
        <v>1.2500000000000131</v>
      </c>
      <c r="E341" s="161">
        <f>-B341*Main!$B$18-2*Main!$B$18*loop_gain!$B$17*loop_gain!$B$18</f>
        <v>-181.32000000000016</v>
      </c>
      <c r="F341" s="161">
        <f>2*Main!$B$18*loop_gain!$B$17*loop_gain!$B$18*Helper_calcs!$B$14*Current_limit!B341</f>
        <v>810.81000000000836</v>
      </c>
      <c r="G341" s="161">
        <f t="shared" si="35"/>
        <v>4.6187754130560474</v>
      </c>
      <c r="H341" s="161">
        <f>(Main!$B$18-Current_limit!G341)*Current_limit!G341/(Main!$B$18*loop_gain!$B$17*loop_gain!$B$18)</f>
        <v>0.40995933911040777</v>
      </c>
      <c r="I341" s="161">
        <f t="shared" si="36"/>
        <v>3.4900406608895951</v>
      </c>
      <c r="J341" s="161"/>
      <c r="K341" s="163">
        <f>IF(A341&gt;$B$15,IF(I341&gt;Helper_calcs!$B$15,23,3),0)</f>
        <v>23</v>
      </c>
      <c r="L341" s="162">
        <f t="shared" si="34"/>
        <v>2</v>
      </c>
      <c r="M341" s="162">
        <f t="shared" si="37"/>
        <v>2</v>
      </c>
      <c r="N341" s="161">
        <f t="shared" si="38"/>
        <v>3.55</v>
      </c>
      <c r="O341" s="161">
        <f t="shared" si="39"/>
        <v>4.4375000000000462</v>
      </c>
      <c r="P341" s="149">
        <f>IF(OR(M341=0,M341=3),loop_gain!$B$18,IF(Current_limit!M341=1,Current_limit!$B$12/(2*(Current_limit!N341-Helper_calcs!$B$15)),IF(OR(M341=2,M341=23),(Main!$B$18-Current_limit!O341)*Current_limit!O341/(Main!$B$18*loop_gain!$B$17*(Helper_calcs!$B$14-Helper_calcs!$B$15)),x)))</f>
        <v>1210627.4801587358</v>
      </c>
      <c r="Q341" s="161"/>
    </row>
    <row r="342" spans="1:17" x14ac:dyDescent="0.25">
      <c r="A342">
        <f t="shared" si="40"/>
        <v>4.009999999999958</v>
      </c>
      <c r="B342">
        <f>Main!$B$19/A342</f>
        <v>1.2468827930174695</v>
      </c>
      <c r="D342" s="161">
        <f t="shared" si="33"/>
        <v>1.2468827930174695</v>
      </c>
      <c r="E342" s="161">
        <f>-B342*Main!$B$18-2*Main!$B$18*loop_gain!$B$17*loop_gain!$B$18</f>
        <v>-181.28259351620963</v>
      </c>
      <c r="F342" s="161">
        <f>2*Main!$B$18*loop_gain!$B$17*loop_gain!$B$18*Helper_calcs!$B$14*Current_limit!B342</f>
        <v>808.78802992519547</v>
      </c>
      <c r="G342" s="161">
        <f t="shared" si="35"/>
        <v>4.6074919033527451</v>
      </c>
      <c r="H342" s="161">
        <f>(Main!$B$18-Current_limit!G342)*Current_limit!G342/(Main!$B$18*loop_gain!$B$17*loop_gain!$B$18)</f>
        <v>0.40958298702226836</v>
      </c>
      <c r="I342" s="161">
        <f t="shared" si="36"/>
        <v>3.4904170129777281</v>
      </c>
      <c r="J342" s="161"/>
      <c r="K342" s="163">
        <f>IF(A342&gt;$B$15,IF(I342&gt;Helper_calcs!$B$15,23,3),0)</f>
        <v>23</v>
      </c>
      <c r="L342" s="162">
        <f t="shared" si="34"/>
        <v>2</v>
      </c>
      <c r="M342" s="162">
        <f t="shared" si="37"/>
        <v>2</v>
      </c>
      <c r="N342" s="161">
        <f t="shared" si="38"/>
        <v>3.55</v>
      </c>
      <c r="O342" s="161">
        <f t="shared" si="39"/>
        <v>4.4264339152120167</v>
      </c>
      <c r="P342" s="149">
        <f>IF(OR(M342=0,M342=3),loop_gain!$B$18,IF(Current_limit!M342=1,Current_limit!$B$12/(2*(Current_limit!N342-Helper_calcs!$B$15)),IF(OR(M342=2,M342=23),(Main!$B$18-Current_limit!O342)*Current_limit!O342/(Main!$B$18*loop_gain!$B$17*(Helper_calcs!$B$14-Helper_calcs!$B$15)),x)))</f>
        <v>1209375.5330737748</v>
      </c>
      <c r="Q342" s="161"/>
    </row>
    <row r="343" spans="1:17" x14ac:dyDescent="0.25">
      <c r="A343">
        <f t="shared" si="40"/>
        <v>4.0199999999999578</v>
      </c>
      <c r="B343">
        <f>Main!$B$19/A343</f>
        <v>1.2437810945273762</v>
      </c>
      <c r="D343" s="161">
        <f t="shared" ref="D343:D406" si="41">B343</f>
        <v>1.2437810945273762</v>
      </c>
      <c r="E343" s="161">
        <f>-B343*Main!$B$18-2*Main!$B$18*loop_gain!$B$17*loop_gain!$B$18</f>
        <v>-181.2453731343285</v>
      </c>
      <c r="F343" s="161">
        <f>2*Main!$B$18*loop_gain!$B$17*loop_gain!$B$18*Helper_calcs!$B$14*Current_limit!B343</f>
        <v>806.77611940299334</v>
      </c>
      <c r="G343" s="161">
        <f t="shared" si="35"/>
        <v>4.5962652412021727</v>
      </c>
      <c r="H343" s="161">
        <f>(Main!$B$18-Current_limit!G343)*Current_limit!G343/(Main!$B$18*loop_gain!$B$17*loop_gain!$B$18)</f>
        <v>0.40920549214697943</v>
      </c>
      <c r="I343" s="161">
        <f t="shared" si="36"/>
        <v>3.4907945078530185</v>
      </c>
      <c r="J343" s="161"/>
      <c r="K343" s="163">
        <f>IF(A343&gt;$B$15,IF(I343&gt;Helper_calcs!$B$15,23,3),0)</f>
        <v>23</v>
      </c>
      <c r="L343" s="162">
        <f t="shared" ref="L343:L406" si="42">IF(A343&gt;$B$13,IF(A343&gt;$B$14,2,1),0)</f>
        <v>2</v>
      </c>
      <c r="M343" s="162">
        <f t="shared" si="37"/>
        <v>2</v>
      </c>
      <c r="N343" s="161">
        <f t="shared" si="38"/>
        <v>3.55</v>
      </c>
      <c r="O343" s="161">
        <f t="shared" si="39"/>
        <v>4.4154228855721849</v>
      </c>
      <c r="P343" s="149">
        <f>IF(OR(M343=0,M343=3),loop_gain!$B$18,IF(Current_limit!M343=1,Current_limit!$B$12/(2*(Current_limit!N343-Helper_calcs!$B$15)),IF(OR(M343=2,M343=23),(Main!$B$18-Current_limit!O343)*Current_limit!O343/(Main!$B$18*loop_gain!$B$17*(Helper_calcs!$B$14-Helper_calcs!$B$15)),x)))</f>
        <v>1208121.0450372163</v>
      </c>
      <c r="Q343" s="161"/>
    </row>
    <row r="344" spans="1:17" x14ac:dyDescent="0.25">
      <c r="A344">
        <f t="shared" si="40"/>
        <v>4.0299999999999576</v>
      </c>
      <c r="B344">
        <f>Main!$B$19/A344</f>
        <v>1.2406947890818989</v>
      </c>
      <c r="D344" s="161">
        <f t="shared" si="41"/>
        <v>1.2406947890818989</v>
      </c>
      <c r="E344" s="161">
        <f>-B344*Main!$B$18-2*Main!$B$18*loop_gain!$B$17*loop_gain!$B$18</f>
        <v>-181.20833746898279</v>
      </c>
      <c r="F344" s="161">
        <f>2*Main!$B$18*loop_gain!$B$17*loop_gain!$B$18*Helper_calcs!$B$14*Current_limit!B344</f>
        <v>804.77419354839549</v>
      </c>
      <c r="G344" s="161">
        <f t="shared" ref="G344:G407" si="43">(-E344-SQRT(E344^2-4*D344*F344))/(2*D344)</f>
        <v>4.5850949841955755</v>
      </c>
      <c r="H344" s="161">
        <f>(Main!$B$18-Current_limit!G344)*Current_limit!G344/(Main!$B$18*loop_gain!$B$17*loop_gain!$B$18)</f>
        <v>0.40882688547680957</v>
      </c>
      <c r="I344" s="161">
        <f t="shared" ref="I344:I407" si="44">(G344/B344)-0.5*H344</f>
        <v>3.4911731145231903</v>
      </c>
      <c r="J344" s="161"/>
      <c r="K344" s="163">
        <f>IF(A344&gt;$B$15,IF(I344&gt;Helper_calcs!$B$15,23,3),0)</f>
        <v>23</v>
      </c>
      <c r="L344" s="162">
        <f t="shared" si="42"/>
        <v>2</v>
      </c>
      <c r="M344" s="162">
        <f t="shared" ref="M344:M407" si="45">IF($B$16="N",L344,K344)</f>
        <v>2</v>
      </c>
      <c r="N344" s="161">
        <f t="shared" ref="N344:N407" si="46">IF(OR(M344=0,M344=1),A344,IF(OR(M344=2,M344=23),$B$14,G344/B344))</f>
        <v>3.55</v>
      </c>
      <c r="O344" s="161">
        <f t="shared" ref="O344:O407" si="47">N344*B344</f>
        <v>4.4044665012407407</v>
      </c>
      <c r="P344" s="149">
        <f>IF(OR(M344=0,M344=3),loop_gain!$B$18,IF(Current_limit!M344=1,Current_limit!$B$12/(2*(Current_limit!N344-Helper_calcs!$B$15)),IF(OR(M344=2,M344=23),(Main!$B$18-Current_limit!O344)*Current_limit!O344/(Main!$B$18*loop_gain!$B$17*(Helper_calcs!$B$14-Helper_calcs!$B$15)),x)))</f>
        <v>1206864.100084309</v>
      </c>
      <c r="Q344" s="161"/>
    </row>
    <row r="345" spans="1:17" x14ac:dyDescent="0.25">
      <c r="A345">
        <f t="shared" si="40"/>
        <v>4.0399999999999574</v>
      </c>
      <c r="B345">
        <f>Main!$B$19/A345</f>
        <v>1.2376237623762507</v>
      </c>
      <c r="D345" s="161">
        <f t="shared" si="41"/>
        <v>1.2376237623762507</v>
      </c>
      <c r="E345" s="161">
        <f>-B345*Main!$B$18-2*Main!$B$18*loop_gain!$B$17*loop_gain!$B$18</f>
        <v>-181.17148514851499</v>
      </c>
      <c r="F345" s="161">
        <f>2*Main!$B$18*loop_gain!$B$17*loop_gain!$B$18*Helper_calcs!$B$14*Current_limit!B345</f>
        <v>802.78217821783016</v>
      </c>
      <c r="G345" s="161">
        <f t="shared" si="43"/>
        <v>4.5739806946413566</v>
      </c>
      <c r="H345" s="161">
        <f>(Main!$B$18-Current_limit!G345)*Current_limit!G345/(Main!$B$18*loop_gain!$B$17*loop_gain!$B$18)</f>
        <v>0.40844719745964958</v>
      </c>
      <c r="I345" s="161">
        <f t="shared" si="44"/>
        <v>3.4915528025403524</v>
      </c>
      <c r="J345" s="161"/>
      <c r="K345" s="163">
        <f>IF(A345&gt;$B$15,IF(I345&gt;Helper_calcs!$B$15,23,3),0)</f>
        <v>23</v>
      </c>
      <c r="L345" s="162">
        <f t="shared" si="42"/>
        <v>2</v>
      </c>
      <c r="M345" s="162">
        <f t="shared" si="45"/>
        <v>2</v>
      </c>
      <c r="N345" s="161">
        <f t="shared" si="46"/>
        <v>3.55</v>
      </c>
      <c r="O345" s="161">
        <f t="shared" si="47"/>
        <v>4.3935643564356894</v>
      </c>
      <c r="P345" s="149">
        <f>IF(OR(M345=0,M345=3),loop_gain!$B$18,IF(Current_limit!M345=1,Current_limit!$B$12/(2*(Current_limit!N345-Helper_calcs!$B$15)),IF(OR(M345=2,M345=23),(Main!$B$18-Current_limit!O345)*Current_limit!O345/(Main!$B$18*loop_gain!$B$17*(Helper_calcs!$B$14-Helper_calcs!$B$15)),x)))</f>
        <v>1205604.780775113</v>
      </c>
      <c r="Q345" s="161"/>
    </row>
    <row r="346" spans="1:17" x14ac:dyDescent="0.25">
      <c r="A346">
        <f t="shared" si="40"/>
        <v>4.0499999999999572</v>
      </c>
      <c r="B346">
        <f>Main!$B$19/A346</f>
        <v>1.2345679012345809</v>
      </c>
      <c r="D346" s="161">
        <f t="shared" si="41"/>
        <v>1.2345679012345809</v>
      </c>
      <c r="E346" s="161">
        <f>-B346*Main!$B$18-2*Main!$B$18*loop_gain!$B$17*loop_gain!$B$18</f>
        <v>-181.13481481481497</v>
      </c>
      <c r="F346" s="161">
        <f>2*Main!$B$18*loop_gain!$B$17*loop_gain!$B$18*Helper_calcs!$B$14*Current_limit!B346</f>
        <v>800.80000000000837</v>
      </c>
      <c r="G346" s="161">
        <f t="shared" si="43"/>
        <v>4.5629219395006411</v>
      </c>
      <c r="H346" s="161">
        <f>(Main!$B$18-Current_limit!G346)*Current_limit!G346/(Main!$B$18*loop_gain!$B$17*loop_gain!$B$18)</f>
        <v>0.40806645800903557</v>
      </c>
      <c r="I346" s="161">
        <f t="shared" si="44"/>
        <v>3.4919335419909623</v>
      </c>
      <c r="J346" s="161"/>
      <c r="K346" s="163">
        <f>IF(A346&gt;$B$15,IF(I346&gt;Helper_calcs!$B$15,23,3),0)</f>
        <v>23</v>
      </c>
      <c r="L346" s="162">
        <f t="shared" si="42"/>
        <v>2</v>
      </c>
      <c r="M346" s="162">
        <f t="shared" si="45"/>
        <v>2</v>
      </c>
      <c r="N346" s="161">
        <f t="shared" si="46"/>
        <v>3.55</v>
      </c>
      <c r="O346" s="161">
        <f t="shared" si="47"/>
        <v>4.3827160493827622</v>
      </c>
      <c r="P346" s="149">
        <f>IF(OR(M346=0,M346=3),loop_gain!$B$18,IF(Current_limit!M346=1,Current_limit!$B$12/(2*(Current_limit!N346-Helper_calcs!$B$15)),IF(OR(M346=2,M346=23),(Main!$B$18-Current_limit!O346)*Current_limit!O346/(Main!$B$18*loop_gain!$B$17*(Helper_calcs!$B$14-Helper_calcs!$B$15)),x)))</f>
        <v>1204343.1682206318</v>
      </c>
      <c r="Q346" s="161"/>
    </row>
    <row r="347" spans="1:17" x14ac:dyDescent="0.25">
      <c r="A347">
        <f t="shared" si="40"/>
        <v>4.059999999999957</v>
      </c>
      <c r="B347">
        <f>Main!$B$19/A347</f>
        <v>1.2315270935960723</v>
      </c>
      <c r="D347" s="161">
        <f t="shared" si="41"/>
        <v>1.2315270935960723</v>
      </c>
      <c r="E347" s="161">
        <f>-B347*Main!$B$18-2*Main!$B$18*loop_gain!$B$17*loop_gain!$B$18</f>
        <v>-181.09832512315285</v>
      </c>
      <c r="F347" s="161">
        <f>2*Main!$B$18*loop_gain!$B$17*loop_gain!$B$18*Helper_calcs!$B$14*Current_limit!B347</f>
        <v>798.82758620690493</v>
      </c>
      <c r="G347" s="161">
        <f t="shared" si="43"/>
        <v>4.5519182903239592</v>
      </c>
      <c r="H347" s="161">
        <f>(Main!$B$18-Current_limit!G347)*Current_limit!G347/(Main!$B$18*loop_gain!$B$17*loop_gain!$B$18)</f>
        <v>0.40768469651396966</v>
      </c>
      <c r="I347" s="161">
        <f t="shared" si="44"/>
        <v>3.4923153034860306</v>
      </c>
      <c r="J347" s="161"/>
      <c r="K347" s="163">
        <f>IF(A347&gt;$B$15,IF(I347&gt;Helper_calcs!$B$15,23,3),0)</f>
        <v>23</v>
      </c>
      <c r="L347" s="162">
        <f t="shared" si="42"/>
        <v>2</v>
      </c>
      <c r="M347" s="162">
        <f t="shared" si="45"/>
        <v>2</v>
      </c>
      <c r="N347" s="161">
        <f t="shared" si="46"/>
        <v>3.55</v>
      </c>
      <c r="O347" s="161">
        <f t="shared" si="47"/>
        <v>4.371921182266056</v>
      </c>
      <c r="P347" s="149">
        <f>IF(OR(M347=0,M347=3),loop_gain!$B$18,IF(Current_limit!M347=1,Current_limit!$B$12/(2*(Current_limit!N347-Helper_calcs!$B$15)),IF(OR(M347=2,M347=23),(Main!$B$18-Current_limit!O347)*Current_limit!O347/(Main!$B$18*loop_gain!$B$17*(Helper_calcs!$B$14-Helper_calcs!$B$15)),x)))</f>
        <v>1203079.3421084436</v>
      </c>
      <c r="Q347" s="161"/>
    </row>
    <row r="348" spans="1:17" x14ac:dyDescent="0.25">
      <c r="A348">
        <f t="shared" si="40"/>
        <v>4.0699999999999568</v>
      </c>
      <c r="B348">
        <f>Main!$B$19/A348</f>
        <v>1.2285012285012415</v>
      </c>
      <c r="D348" s="161">
        <f t="shared" si="41"/>
        <v>1.2285012285012415</v>
      </c>
      <c r="E348" s="161">
        <f>-B348*Main!$B$18-2*Main!$B$18*loop_gain!$B$17*loop_gain!$B$18</f>
        <v>-181.0620147420149</v>
      </c>
      <c r="F348" s="161">
        <f>2*Main!$B$18*loop_gain!$B$17*loop_gain!$B$18*Helper_calcs!$B$14*Current_limit!B348</f>
        <v>796.8648648648732</v>
      </c>
      <c r="G348" s="161">
        <f t="shared" si="43"/>
        <v>4.5409693231889072</v>
      </c>
      <c r="H348" s="161">
        <f>(Main!$B$18-Current_limit!G348)*Current_limit!G348/(Main!$B$18*loop_gain!$B$17*loop_gain!$B$18)</f>
        <v>0.40730194184853497</v>
      </c>
      <c r="I348" s="161">
        <f t="shared" si="44"/>
        <v>3.4926980581514639</v>
      </c>
      <c r="J348" s="161"/>
      <c r="K348" s="163">
        <f>IF(A348&gt;$B$15,IF(I348&gt;Helper_calcs!$B$15,23,3),0)</f>
        <v>23</v>
      </c>
      <c r="L348" s="162">
        <f t="shared" si="42"/>
        <v>2</v>
      </c>
      <c r="M348" s="162">
        <f t="shared" si="45"/>
        <v>2</v>
      </c>
      <c r="N348" s="161">
        <f t="shared" si="46"/>
        <v>3.55</v>
      </c>
      <c r="O348" s="161">
        <f t="shared" si="47"/>
        <v>4.3611793611794072</v>
      </c>
      <c r="P348" s="149">
        <f>IF(OR(M348=0,M348=3),loop_gain!$B$18,IF(Current_limit!M348=1,Current_limit!$B$12/(2*(Current_limit!N348-Helper_calcs!$B$15)),IF(OR(M348=2,M348=23),(Main!$B$18-Current_limit!O348)*Current_limit!O348/(Main!$B$18*loop_gain!$B$17*(Helper_calcs!$B$14-Helper_calcs!$B$15)),x)))</f>
        <v>1201813.3807278383</v>
      </c>
      <c r="Q348" s="161"/>
    </row>
    <row r="349" spans="1:17" x14ac:dyDescent="0.25">
      <c r="A349">
        <f t="shared" si="40"/>
        <v>4.0799999999999566</v>
      </c>
      <c r="B349">
        <f>Main!$B$19/A349</f>
        <v>1.2254901960784443</v>
      </c>
      <c r="D349" s="161">
        <f t="shared" si="41"/>
        <v>1.2254901960784443</v>
      </c>
      <c r="E349" s="161">
        <f>-B349*Main!$B$18-2*Main!$B$18*loop_gain!$B$17*loop_gain!$B$18</f>
        <v>-181.02588235294132</v>
      </c>
      <c r="F349" s="161">
        <f>2*Main!$B$18*loop_gain!$B$17*loop_gain!$B$18*Helper_calcs!$B$14*Current_limit!B349</f>
        <v>794.91176470589062</v>
      </c>
      <c r="G349" s="161">
        <f t="shared" si="43"/>
        <v>4.53007461863894</v>
      </c>
      <c r="H349" s="161">
        <f>(Main!$B$18-Current_limit!G349)*Current_limit!G349/(Main!$B$18*loop_gain!$B$17*loop_gain!$B$18)</f>
        <v>0.40691822238131969</v>
      </c>
      <c r="I349" s="161">
        <f t="shared" si="44"/>
        <v>3.4930817776186762</v>
      </c>
      <c r="J349" s="161"/>
      <c r="K349" s="163">
        <f>IF(A349&gt;$B$15,IF(I349&gt;Helper_calcs!$B$15,23,3),0)</f>
        <v>23</v>
      </c>
      <c r="L349" s="162">
        <f t="shared" si="42"/>
        <v>2</v>
      </c>
      <c r="M349" s="162">
        <f t="shared" si="45"/>
        <v>2</v>
      </c>
      <c r="N349" s="161">
        <f t="shared" si="46"/>
        <v>3.55</v>
      </c>
      <c r="O349" s="161">
        <f t="shared" si="47"/>
        <v>4.3504901960784768</v>
      </c>
      <c r="P349" s="149">
        <f>IF(OR(M349=0,M349=3),loop_gain!$B$18,IF(Current_limit!M349=1,Current_limit!$B$12/(2*(Current_limit!N349-Helper_calcs!$B$15)),IF(OR(M349=2,M349=23),(Main!$B$18-Current_limit!O349)*Current_limit!O349/(Main!$B$18*loop_gain!$B$17*(Helper_calcs!$B$14-Helper_calcs!$B$15)),x)))</f>
        <v>1200545.3609944731</v>
      </c>
      <c r="Q349" s="161"/>
    </row>
    <row r="350" spans="1:17" x14ac:dyDescent="0.25">
      <c r="A350">
        <f t="shared" si="40"/>
        <v>4.0899999999999563</v>
      </c>
      <c r="B350">
        <f>Main!$B$19/A350</f>
        <v>1.2224938875305753</v>
      </c>
      <c r="D350" s="161">
        <f t="shared" si="41"/>
        <v>1.2224938875305753</v>
      </c>
      <c r="E350" s="161">
        <f>-B350*Main!$B$18-2*Main!$B$18*loop_gain!$B$17*loop_gain!$B$18</f>
        <v>-180.9899266503669</v>
      </c>
      <c r="F350" s="161">
        <f>2*Main!$B$18*loop_gain!$B$17*loop_gain!$B$18*Helper_calcs!$B$14*Current_limit!B350</f>
        <v>792.96821515893248</v>
      </c>
      <c r="G350" s="161">
        <f t="shared" si="43"/>
        <v>4.5192337616231235</v>
      </c>
      <c r="H350" s="161">
        <f>(Main!$B$18-Current_limit!G350)*Current_limit!G350/(Main!$B$18*loop_gain!$B$17*loop_gain!$B$18)</f>
        <v>0.40653356598464641</v>
      </c>
      <c r="I350" s="161">
        <f t="shared" si="44"/>
        <v>3.4934664340153527</v>
      </c>
      <c r="J350" s="161"/>
      <c r="K350" s="163">
        <f>IF(A350&gt;$B$15,IF(I350&gt;Helper_calcs!$B$15,23,3),0)</f>
        <v>23</v>
      </c>
      <c r="L350" s="162">
        <f t="shared" si="42"/>
        <v>2</v>
      </c>
      <c r="M350" s="162">
        <f t="shared" si="45"/>
        <v>2</v>
      </c>
      <c r="N350" s="161">
        <f t="shared" si="46"/>
        <v>3.55</v>
      </c>
      <c r="O350" s="161">
        <f t="shared" si="47"/>
        <v>4.3398533007335418</v>
      </c>
      <c r="P350" s="149">
        <f>IF(OR(M350=0,M350=3),loop_gain!$B$18,IF(Current_limit!M350=1,Current_limit!$B$12/(2*(Current_limit!N350-Helper_calcs!$B$15)),IF(OR(M350=2,M350=23),(Main!$B$18-Current_limit!O350)*Current_limit!O350/(Main!$B$18*loop_gain!$B$17*(Helper_calcs!$B$14-Helper_calcs!$B$15)),x)))</f>
        <v>1199275.3584745561</v>
      </c>
      <c r="Q350" s="161"/>
    </row>
    <row r="351" spans="1:17" x14ac:dyDescent="0.25">
      <c r="A351">
        <f t="shared" si="40"/>
        <v>4.0999999999999561</v>
      </c>
      <c r="B351">
        <f>Main!$B$19/A351</f>
        <v>1.2195121951219643</v>
      </c>
      <c r="D351" s="161">
        <f t="shared" si="41"/>
        <v>1.2195121951219643</v>
      </c>
      <c r="E351" s="161">
        <f>-B351*Main!$B$18-2*Main!$B$18*loop_gain!$B$17*loop_gain!$B$18</f>
        <v>-180.95414634146357</v>
      </c>
      <c r="F351" s="161">
        <f>2*Main!$B$18*loop_gain!$B$17*loop_gain!$B$18*Helper_calcs!$B$14*Current_limit!B351</f>
        <v>791.0341463414718</v>
      </c>
      <c r="G351" s="161">
        <f t="shared" si="43"/>
        <v>4.5084463414368674</v>
      </c>
      <c r="H351" s="161">
        <f>(Main!$B$18-Current_limit!G351)*Current_limit!G351/(Main!$B$18*loop_gain!$B$17*loop_gain!$B$18)</f>
        <v>0.40614800004361395</v>
      </c>
      <c r="I351" s="161">
        <f t="shared" si="44"/>
        <v>3.4938519999563846</v>
      </c>
      <c r="J351" s="161"/>
      <c r="K351" s="163">
        <f>IF(A351&gt;$B$15,IF(I351&gt;Helper_calcs!$B$15,23,3),0)</f>
        <v>23</v>
      </c>
      <c r="L351" s="162">
        <f t="shared" si="42"/>
        <v>2</v>
      </c>
      <c r="M351" s="162">
        <f t="shared" si="45"/>
        <v>2</v>
      </c>
      <c r="N351" s="161">
        <f t="shared" si="46"/>
        <v>3.55</v>
      </c>
      <c r="O351" s="161">
        <f t="shared" si="47"/>
        <v>4.3292682926829729</v>
      </c>
      <c r="P351" s="149">
        <f>IF(OR(M351=0,M351=3),loop_gain!$B$18,IF(Current_limit!M351=1,Current_limit!$B$12/(2*(Current_limit!N351-Helper_calcs!$B$15)),IF(OR(M351=2,M351=23),(Main!$B$18-Current_limit!O351)*Current_limit!O351/(Main!$B$18*loop_gain!$B$17*(Helper_calcs!$B$14-Helper_calcs!$B$15)),x)))</f>
        <v>1198003.4474085695</v>
      </c>
      <c r="Q351" s="161"/>
    </row>
    <row r="352" spans="1:17" x14ac:dyDescent="0.25">
      <c r="A352">
        <f t="shared" si="40"/>
        <v>4.1099999999999559</v>
      </c>
      <c r="B352">
        <f>Main!$B$19/A352</f>
        <v>1.2165450121654631</v>
      </c>
      <c r="D352" s="161">
        <f t="shared" si="41"/>
        <v>1.2165450121654631</v>
      </c>
      <c r="E352" s="161">
        <f>-B352*Main!$B$18-2*Main!$B$18*loop_gain!$B$17*loop_gain!$B$18</f>
        <v>-180.91854014598556</v>
      </c>
      <c r="F352" s="161">
        <f>2*Main!$B$18*loop_gain!$B$17*loop_gain!$B$18*Helper_calcs!$B$14*Current_limit!B352</f>
        <v>789.1094890511032</v>
      </c>
      <c r="G352" s="161">
        <f t="shared" si="43"/>
        <v>4.4977119516636943</v>
      </c>
      <c r="H352" s="161">
        <f>(Main!$B$18-Current_limit!G352)*Current_limit!G352/(Main!$B$18*loop_gain!$B$17*loop_gain!$B$18)</f>
        <v>0.40576155146495779</v>
      </c>
      <c r="I352" s="161">
        <f t="shared" si="44"/>
        <v>3.4942384485350382</v>
      </c>
      <c r="J352" s="161"/>
      <c r="K352" s="163">
        <f>IF(A352&gt;$B$15,IF(I352&gt;Helper_calcs!$B$15,23,3),0)</f>
        <v>23</v>
      </c>
      <c r="L352" s="162">
        <f t="shared" si="42"/>
        <v>2</v>
      </c>
      <c r="M352" s="162">
        <f t="shared" si="45"/>
        <v>2</v>
      </c>
      <c r="N352" s="161">
        <f t="shared" si="46"/>
        <v>3.55</v>
      </c>
      <c r="O352" s="161">
        <f t="shared" si="47"/>
        <v>4.3187347931873941</v>
      </c>
      <c r="P352" s="149">
        <f>IF(OR(M352=0,M352=3),loop_gain!$B$18,IF(Current_limit!M352=1,Current_limit!$B$12/(2*(Current_limit!N352-Helper_calcs!$B$15)),IF(OR(M352=2,M352=23),(Main!$B$18-Current_limit!O352)*Current_limit!O352/(Main!$B$18*loop_gain!$B$17*(Helper_calcs!$B$14-Helper_calcs!$B$15)),x)))</f>
        <v>1196729.7007345373</v>
      </c>
      <c r="Q352" s="161"/>
    </row>
    <row r="353" spans="1:17" x14ac:dyDescent="0.25">
      <c r="A353">
        <f t="shared" ref="A353:A416" si="48">A352+0.01</f>
        <v>4.1199999999999557</v>
      </c>
      <c r="B353">
        <f>Main!$B$19/A353</f>
        <v>1.2135922330097217</v>
      </c>
      <c r="D353" s="161">
        <f t="shared" si="41"/>
        <v>1.2135922330097217</v>
      </c>
      <c r="E353" s="161">
        <f>-B353*Main!$B$18-2*Main!$B$18*loop_gain!$B$17*loop_gain!$B$18</f>
        <v>-180.88310679611666</v>
      </c>
      <c r="F353" s="161">
        <f>2*Main!$B$18*loop_gain!$B$17*loop_gain!$B$18*Helper_calcs!$B$14*Current_limit!B353</f>
        <v>787.19417475728983</v>
      </c>
      <c r="G353" s="161">
        <f t="shared" si="43"/>
        <v>4.487030190117923</v>
      </c>
      <c r="H353" s="161">
        <f>(Main!$B$18-Current_limit!G353)*Current_limit!G353/(Main!$B$18*loop_gain!$B$17*loop_gain!$B$18)</f>
        <v>0.40537424668573102</v>
      </c>
      <c r="I353" s="161">
        <f t="shared" si="44"/>
        <v>3.4946257533142635</v>
      </c>
      <c r="J353" s="161"/>
      <c r="K353" s="163">
        <f>IF(A353&gt;$B$15,IF(I353&gt;Helper_calcs!$B$15,23,3),0)</f>
        <v>23</v>
      </c>
      <c r="L353" s="162">
        <f t="shared" si="42"/>
        <v>2</v>
      </c>
      <c r="M353" s="162">
        <f t="shared" si="45"/>
        <v>2</v>
      </c>
      <c r="N353" s="161">
        <f t="shared" si="46"/>
        <v>3.55</v>
      </c>
      <c r="O353" s="161">
        <f t="shared" si="47"/>
        <v>4.3082524271845122</v>
      </c>
      <c r="P353" s="149">
        <f>IF(OR(M353=0,M353=3),loop_gain!$B$18,IF(Current_limit!M353=1,Current_limit!$B$12/(2*(Current_limit!N353-Helper_calcs!$B$15)),IF(OR(M353=2,M353=23),(Main!$B$18-Current_limit!O353)*Current_limit!O353/(Main!$B$18*loop_gain!$B$17*(Helper_calcs!$B$14-Helper_calcs!$B$15)),x)))</f>
        <v>1195454.1901108557</v>
      </c>
      <c r="Q353" s="161"/>
    </row>
    <row r="354" spans="1:17" x14ac:dyDescent="0.25">
      <c r="A354">
        <f t="shared" si="48"/>
        <v>4.1299999999999555</v>
      </c>
      <c r="B354">
        <f>Main!$B$19/A354</f>
        <v>1.2106537530266475</v>
      </c>
      <c r="D354" s="161">
        <f t="shared" si="41"/>
        <v>1.2106537530266475</v>
      </c>
      <c r="E354" s="161">
        <f>-B354*Main!$B$18-2*Main!$B$18*loop_gain!$B$17*loop_gain!$B$18</f>
        <v>-180.84784503631977</v>
      </c>
      <c r="F354" s="161">
        <f>2*Main!$B$18*loop_gain!$B$17*loop_gain!$B$18*Helper_calcs!$B$14*Current_limit!B354</f>
        <v>785.28813559322873</v>
      </c>
      <c r="G354" s="161">
        <f t="shared" si="43"/>
        <v>4.4764006587882967</v>
      </c>
      <c r="H354" s="161">
        <f>(Main!$B$18-Current_limit!G354)*Current_limit!G354/(Main!$B$18*loop_gain!$B$17*loop_gain!$B$18)</f>
        <v>0.40498611168180931</v>
      </c>
      <c r="I354" s="161">
        <f t="shared" si="44"/>
        <v>3.4950138883181885</v>
      </c>
      <c r="J354" s="161"/>
      <c r="K354" s="163">
        <f>IF(A354&gt;$B$15,IF(I354&gt;Helper_calcs!$B$15,23,3),0)</f>
        <v>23</v>
      </c>
      <c r="L354" s="162">
        <f t="shared" si="42"/>
        <v>2</v>
      </c>
      <c r="M354" s="162">
        <f t="shared" si="45"/>
        <v>2</v>
      </c>
      <c r="N354" s="161">
        <f t="shared" si="46"/>
        <v>3.55</v>
      </c>
      <c r="O354" s="161">
        <f t="shared" si="47"/>
        <v>4.2978208232445985</v>
      </c>
      <c r="P354" s="149">
        <f>IF(OR(M354=0,M354=3),loop_gain!$B$18,IF(Current_limit!M354=1,Current_limit!$B$12/(2*(Current_limit!N354-Helper_calcs!$B$15)),IF(OR(M354=2,M354=23),(Main!$B$18-Current_limit!O354)*Current_limit!O354/(Main!$B$18*loop_gain!$B$17*(Helper_calcs!$B$14-Helper_calcs!$B$15)),x)))</f>
        <v>1194176.9859386839</v>
      </c>
      <c r="Q354" s="161"/>
    </row>
    <row r="355" spans="1:17" x14ac:dyDescent="0.25">
      <c r="A355">
        <f t="shared" si="48"/>
        <v>4.1399999999999553</v>
      </c>
      <c r="B355">
        <f>Main!$B$19/A355</f>
        <v>1.207729468599047</v>
      </c>
      <c r="D355" s="161">
        <f t="shared" si="41"/>
        <v>1.207729468599047</v>
      </c>
      <c r="E355" s="161">
        <f>-B355*Main!$B$18-2*Main!$B$18*loop_gain!$B$17*loop_gain!$B$18</f>
        <v>-180.81275362318854</v>
      </c>
      <c r="F355" s="161">
        <f>2*Main!$B$18*loop_gain!$B$17*loop_gain!$B$18*Helper_calcs!$B$14*Current_limit!B355</f>
        <v>783.39130434783453</v>
      </c>
      <c r="G355" s="161">
        <f t="shared" si="43"/>
        <v>4.465822963782526</v>
      </c>
      <c r="H355" s="161">
        <f>(Main!$B$18-Current_limit!G355)*Current_limit!G355/(Main!$B$18*loop_gain!$B$17*loop_gain!$B$18)</f>
        <v>0.40459717197622613</v>
      </c>
      <c r="I355" s="161">
        <f t="shared" si="44"/>
        <v>3.4954028280237783</v>
      </c>
      <c r="J355" s="161"/>
      <c r="K355" s="163">
        <f>IF(A355&gt;$B$15,IF(I355&gt;Helper_calcs!$B$15,23,3),0)</f>
        <v>23</v>
      </c>
      <c r="L355" s="162">
        <f t="shared" si="42"/>
        <v>2</v>
      </c>
      <c r="M355" s="162">
        <f t="shared" si="45"/>
        <v>2</v>
      </c>
      <c r="N355" s="161">
        <f t="shared" si="46"/>
        <v>3.55</v>
      </c>
      <c r="O355" s="161">
        <f t="shared" si="47"/>
        <v>4.2874396135266162</v>
      </c>
      <c r="P355" s="149">
        <f>IF(OR(M355=0,M355=3),loop_gain!$B$18,IF(Current_limit!M355=1,Current_limit!$B$12/(2*(Current_limit!N355-Helper_calcs!$B$15)),IF(OR(M355=2,M355=23),(Main!$B$18-Current_limit!O355)*Current_limit!O355/(Main!$B$18*loop_gain!$B$17*(Helper_calcs!$B$14-Helper_calcs!$B$15)),x)))</f>
        <v>1192898.1573839157</v>
      </c>
      <c r="Q355" s="161"/>
    </row>
    <row r="356" spans="1:17" x14ac:dyDescent="0.25">
      <c r="A356">
        <f t="shared" si="48"/>
        <v>4.1499999999999551</v>
      </c>
      <c r="B356">
        <f>Main!$B$19/A356</f>
        <v>1.2048192771084467</v>
      </c>
      <c r="D356" s="161">
        <f t="shared" si="41"/>
        <v>1.2048192771084467</v>
      </c>
      <c r="E356" s="161">
        <f>-B356*Main!$B$18-2*Main!$B$18*loop_gain!$B$17*loop_gain!$B$18</f>
        <v>-180.77783132530135</v>
      </c>
      <c r="F356" s="161">
        <f>2*Main!$B$18*loop_gain!$B$17*loop_gain!$B$18*Helper_calcs!$B$14*Current_limit!B356</f>
        <v>781.5036144578396</v>
      </c>
      <c r="G356" s="161">
        <f t="shared" si="43"/>
        <v>4.4552967152727287</v>
      </c>
      <c r="H356" s="161">
        <f>(Main!$B$18-Current_limit!G356)*Current_limit!G356/(Main!$B$18*loop_gain!$B$17*loop_gain!$B$18)</f>
        <v>0.40420745264733976</v>
      </c>
      <c r="I356" s="161">
        <f t="shared" si="44"/>
        <v>3.4957925473526554</v>
      </c>
      <c r="J356" s="161"/>
      <c r="K356" s="163">
        <f>IF(A356&gt;$B$15,IF(I356&gt;Helper_calcs!$B$15,23,3),0)</f>
        <v>23</v>
      </c>
      <c r="L356" s="162">
        <f t="shared" si="42"/>
        <v>2</v>
      </c>
      <c r="M356" s="162">
        <f t="shared" si="45"/>
        <v>2</v>
      </c>
      <c r="N356" s="161">
        <f t="shared" si="46"/>
        <v>3.55</v>
      </c>
      <c r="O356" s="161">
        <f t="shared" si="47"/>
        <v>4.2771084337349858</v>
      </c>
      <c r="P356" s="149">
        <f>IF(OR(M356=0,M356=3),loop_gain!$B$18,IF(Current_limit!M356=1,Current_limit!$B$12/(2*(Current_limit!N356-Helper_calcs!$B$15)),IF(OR(M356=2,M356=23),(Main!$B$18-Current_limit!O356)*Current_limit!O356/(Main!$B$18*loop_gain!$B$17*(Helper_calcs!$B$14-Helper_calcs!$B$15)),x)))</f>
        <v>1191617.7723987338</v>
      </c>
      <c r="Q356" s="161"/>
    </row>
    <row r="357" spans="1:17" x14ac:dyDescent="0.25">
      <c r="A357">
        <f t="shared" si="48"/>
        <v>4.1599999999999548</v>
      </c>
      <c r="B357">
        <f>Main!$B$19/A357</f>
        <v>1.20192307692309</v>
      </c>
      <c r="D357" s="161">
        <f t="shared" si="41"/>
        <v>1.20192307692309</v>
      </c>
      <c r="E357" s="161">
        <f>-B357*Main!$B$18-2*Main!$B$18*loop_gain!$B$17*loop_gain!$B$18</f>
        <v>-180.74307692307707</v>
      </c>
      <c r="F357" s="161">
        <f>2*Main!$B$18*loop_gain!$B$17*loop_gain!$B$18*Helper_calcs!$B$14*Current_limit!B357</f>
        <v>779.62500000000841</v>
      </c>
      <c r="G357" s="161">
        <f t="shared" si="43"/>
        <v>4.4448215274418486</v>
      </c>
      <c r="H357" s="161">
        <f>(Main!$B$18-Current_limit!G357)*Current_limit!G357/(Main!$B$18*loop_gain!$B$17*loop_gain!$B$18)</f>
        <v>0.40381697833684099</v>
      </c>
      <c r="I357" s="161">
        <f t="shared" si="44"/>
        <v>3.4961830216631573</v>
      </c>
      <c r="J357" s="161"/>
      <c r="K357" s="163">
        <f>IF(A357&gt;$B$15,IF(I357&gt;Helper_calcs!$B$15,23,3),0)</f>
        <v>23</v>
      </c>
      <c r="L357" s="162">
        <f t="shared" si="42"/>
        <v>2</v>
      </c>
      <c r="M357" s="162">
        <f t="shared" si="45"/>
        <v>2</v>
      </c>
      <c r="N357" s="161">
        <f t="shared" si="46"/>
        <v>3.55</v>
      </c>
      <c r="O357" s="161">
        <f t="shared" si="47"/>
        <v>4.2668269230769695</v>
      </c>
      <c r="P357" s="149">
        <f>IF(OR(M357=0,M357=3),loop_gain!$B$18,IF(Current_limit!M357=1,Current_limit!$B$12/(2*(Current_limit!N357-Helper_calcs!$B$15)),IF(OR(M357=2,M357=23),(Main!$B$18-Current_limit!O357)*Current_limit!O357/(Main!$B$18*loop_gain!$B$17*(Helper_calcs!$B$14-Helper_calcs!$B$15)),x)))</f>
        <v>1190335.897742755</v>
      </c>
      <c r="Q357" s="161"/>
    </row>
    <row r="358" spans="1:17" x14ac:dyDescent="0.25">
      <c r="A358">
        <f t="shared" si="48"/>
        <v>4.1699999999999546</v>
      </c>
      <c r="B358">
        <f>Main!$B$19/A358</f>
        <v>1.1990407673861041</v>
      </c>
      <c r="D358" s="161">
        <f t="shared" si="41"/>
        <v>1.1990407673861041</v>
      </c>
      <c r="E358" s="161">
        <f>-B358*Main!$B$18-2*Main!$B$18*loop_gain!$B$17*loop_gain!$B$18</f>
        <v>-180.70848920863324</v>
      </c>
      <c r="F358" s="161">
        <f>2*Main!$B$18*loop_gain!$B$17*loop_gain!$B$18*Helper_calcs!$B$14*Current_limit!B358</f>
        <v>777.75539568346153</v>
      </c>
      <c r="G358" s="161">
        <f t="shared" si="43"/>
        <v>4.4343970184307464</v>
      </c>
      <c r="H358" s="161">
        <f>(Main!$B$18-Current_limit!G358)*Current_limit!G358/(Main!$B$18*loop_gain!$B$17*loop_gain!$B$18)</f>
        <v>0.40342577325759338</v>
      </c>
      <c r="I358" s="161">
        <f t="shared" si="44"/>
        <v>3.4965742267424056</v>
      </c>
      <c r="J358" s="161"/>
      <c r="K358" s="163">
        <f>IF(A358&gt;$B$15,IF(I358&gt;Helper_calcs!$B$15,23,3),0)</f>
        <v>23</v>
      </c>
      <c r="L358" s="162">
        <f t="shared" si="42"/>
        <v>2</v>
      </c>
      <c r="M358" s="162">
        <f t="shared" si="45"/>
        <v>2</v>
      </c>
      <c r="N358" s="161">
        <f t="shared" si="46"/>
        <v>3.55</v>
      </c>
      <c r="O358" s="161">
        <f t="shared" si="47"/>
        <v>4.256594724220669</v>
      </c>
      <c r="P358" s="149">
        <f>IF(OR(M358=0,M358=3),loop_gain!$B$18,IF(Current_limit!M358=1,Current_limit!$B$12/(2*(Current_limit!N358-Helper_calcs!$B$15)),IF(OR(M358=2,M358=23),(Main!$B$18-Current_limit!O358)*Current_limit!O358/(Main!$B$18*loop_gain!$B$17*(Helper_calcs!$B$14-Helper_calcs!$B$15)),x)))</f>
        <v>1189052.5990037811</v>
      </c>
      <c r="Q358" s="161"/>
    </row>
    <row r="359" spans="1:17" x14ac:dyDescent="0.25">
      <c r="A359">
        <f t="shared" si="48"/>
        <v>4.1799999999999544</v>
      </c>
      <c r="B359">
        <f>Main!$B$19/A359</f>
        <v>1.1961722488038409</v>
      </c>
      <c r="D359" s="161">
        <f t="shared" si="41"/>
        <v>1.1961722488038409</v>
      </c>
      <c r="E359" s="161">
        <f>-B359*Main!$B$18-2*Main!$B$18*loop_gain!$B$17*loop_gain!$B$18</f>
        <v>-180.67406698564608</v>
      </c>
      <c r="F359" s="161">
        <f>2*Main!$B$18*loop_gain!$B$17*loop_gain!$B$18*Helper_calcs!$B$14*Current_limit!B359</f>
        <v>775.89473684211362</v>
      </c>
      <c r="G359" s="161">
        <f t="shared" si="43"/>
        <v>4.4240228102863339</v>
      </c>
      <c r="H359" s="161">
        <f>(Main!$B$18-Current_limit!G359)*Current_limit!G359/(Main!$B$18*loop_gain!$B$17*loop_gain!$B$18)</f>
        <v>0.40303386120132539</v>
      </c>
      <c r="I359" s="161">
        <f t="shared" si="44"/>
        <v>3.4969661387986721</v>
      </c>
      <c r="J359" s="161"/>
      <c r="K359" s="163">
        <f>IF(A359&gt;$B$15,IF(I359&gt;Helper_calcs!$B$15,23,3),0)</f>
        <v>23</v>
      </c>
      <c r="L359" s="162">
        <f t="shared" si="42"/>
        <v>2</v>
      </c>
      <c r="M359" s="162">
        <f t="shared" si="45"/>
        <v>2</v>
      </c>
      <c r="N359" s="161">
        <f t="shared" si="46"/>
        <v>3.55</v>
      </c>
      <c r="O359" s="161">
        <f t="shared" si="47"/>
        <v>4.2464114832536346</v>
      </c>
      <c r="P359" s="149">
        <f>IF(OR(M359=0,M359=3),loop_gain!$B$18,IF(Current_limit!M359=1,Current_limit!$B$12/(2*(Current_limit!N359-Helper_calcs!$B$15)),IF(OR(M359=2,M359=23),(Main!$B$18-Current_limit!O359)*Current_limit!O359/(Main!$B$18*loop_gain!$B$17*(Helper_calcs!$B$14-Helper_calcs!$B$15)),x)))</f>
        <v>1187767.9406181565</v>
      </c>
      <c r="Q359" s="161"/>
    </row>
    <row r="360" spans="1:17" x14ac:dyDescent="0.25">
      <c r="A360">
        <f t="shared" si="48"/>
        <v>4.1899999999999542</v>
      </c>
      <c r="B360">
        <f>Main!$B$19/A360</f>
        <v>1.1933174224343805</v>
      </c>
      <c r="D360" s="161">
        <f t="shared" si="41"/>
        <v>1.1933174224343805</v>
      </c>
      <c r="E360" s="161">
        <f>-B360*Main!$B$18-2*Main!$B$18*loop_gain!$B$17*loop_gain!$B$18</f>
        <v>-180.63980906921256</v>
      </c>
      <c r="F360" s="161">
        <f>2*Main!$B$18*loop_gain!$B$17*loop_gain!$B$18*Helper_calcs!$B$14*Current_limit!B360</f>
        <v>774.04295942721592</v>
      </c>
      <c r="G360" s="161">
        <f t="shared" si="43"/>
        <v>4.4136985289104524</v>
      </c>
      <c r="H360" s="161">
        <f>(Main!$B$18-Current_limit!G360)*Current_limit!G360/(Main!$B$18*loop_gain!$B$17*loop_gain!$B$18)</f>
        <v>0.40264126554616569</v>
      </c>
      <c r="I360" s="161">
        <f t="shared" si="44"/>
        <v>3.4973587344538362</v>
      </c>
      <c r="J360" s="161"/>
      <c r="K360" s="163">
        <f>IF(A360&gt;$B$15,IF(I360&gt;Helper_calcs!$B$15,23,3),0)</f>
        <v>23</v>
      </c>
      <c r="L360" s="162">
        <f t="shared" si="42"/>
        <v>2</v>
      </c>
      <c r="M360" s="162">
        <f t="shared" si="45"/>
        <v>2</v>
      </c>
      <c r="N360" s="161">
        <f t="shared" si="46"/>
        <v>3.55</v>
      </c>
      <c r="O360" s="161">
        <f t="shared" si="47"/>
        <v>4.2362768496420511</v>
      </c>
      <c r="P360" s="149">
        <f>IF(OR(M360=0,M360=3),loop_gain!$B$18,IF(Current_limit!M360=1,Current_limit!$B$12/(2*(Current_limit!N360-Helper_calcs!$B$15)),IF(OR(M360=2,M360=23),(Main!$B$18-Current_limit!O360)*Current_limit!O360/(Main!$B$18*loop_gain!$B$17*(Helper_calcs!$B$14-Helper_calcs!$B$15)),x)))</f>
        <v>1186481.9858907447</v>
      </c>
      <c r="Q360" s="161"/>
    </row>
    <row r="361" spans="1:17" x14ac:dyDescent="0.25">
      <c r="A361">
        <f t="shared" si="48"/>
        <v>4.199999999999954</v>
      </c>
      <c r="B361">
        <f>Main!$B$19/A361</f>
        <v>1.1904761904762036</v>
      </c>
      <c r="D361" s="161">
        <f t="shared" si="41"/>
        <v>1.1904761904762036</v>
      </c>
      <c r="E361" s="161">
        <f>-B361*Main!$B$18-2*Main!$B$18*loop_gain!$B$17*loop_gain!$B$18</f>
        <v>-180.60571428571444</v>
      </c>
      <c r="F361" s="161">
        <f>2*Main!$B$18*loop_gain!$B$17*loop_gain!$B$18*Helper_calcs!$B$14*Current_limit!B361</f>
        <v>772.20000000000834</v>
      </c>
      <c r="G361" s="161">
        <f t="shared" si="43"/>
        <v>4.4034238040095532</v>
      </c>
      <c r="H361" s="161">
        <f>(Main!$B$18-Current_limit!G361)*Current_limit!G361/(Main!$B$18*loop_gain!$B$17*loop_gain!$B$18)</f>
        <v>0.40224800926402932</v>
      </c>
      <c r="I361" s="161">
        <f t="shared" si="44"/>
        <v>3.4977519907359693</v>
      </c>
      <c r="J361" s="161"/>
      <c r="K361" s="163">
        <f>IF(A361&gt;$B$15,IF(I361&gt;Helper_calcs!$B$15,23,3),0)</f>
        <v>23</v>
      </c>
      <c r="L361" s="162">
        <f t="shared" si="42"/>
        <v>2</v>
      </c>
      <c r="M361" s="162">
        <f t="shared" si="45"/>
        <v>2</v>
      </c>
      <c r="N361" s="161">
        <f t="shared" si="46"/>
        <v>3.55</v>
      </c>
      <c r="O361" s="161">
        <f t="shared" si="47"/>
        <v>4.2261904761905225</v>
      </c>
      <c r="P361" s="149">
        <f>IF(OR(M361=0,M361=3),loop_gain!$B$18,IF(Current_limit!M361=1,Current_limit!$B$12/(2*(Current_limit!N361-Helper_calcs!$B$15)),IF(OR(M361=2,M361=23),(Main!$B$18-Current_limit!O361)*Current_limit!O361/(Main!$B$18*loop_gain!$B$17*(Helper_calcs!$B$14-Helper_calcs!$B$15)),x)))</f>
        <v>1185194.7970145312</v>
      </c>
      <c r="Q361" s="161"/>
    </row>
    <row r="362" spans="1:17" x14ac:dyDescent="0.25">
      <c r="A362">
        <f t="shared" si="48"/>
        <v>4.2099999999999538</v>
      </c>
      <c r="B362">
        <f>Main!$B$19/A362</f>
        <v>1.1876484560570202</v>
      </c>
      <c r="D362" s="161">
        <f t="shared" si="41"/>
        <v>1.1876484560570202</v>
      </c>
      <c r="E362" s="161">
        <f>-B362*Main!$B$18-2*Main!$B$18*loop_gain!$B$17*loop_gain!$B$18</f>
        <v>-180.57178147268422</v>
      </c>
      <c r="F362" s="161">
        <f>2*Main!$B$18*loop_gain!$B$17*loop_gain!$B$18*Helper_calcs!$B$14*Current_limit!B362</f>
        <v>770.36579572447397</v>
      </c>
      <c r="G362" s="161">
        <f t="shared" si="43"/>
        <v>4.3931982690452589</v>
      </c>
      <c r="H362" s="161">
        <f>(Main!$B$18-Current_limit!G362)*Current_limit!G362/(Main!$B$18*loop_gain!$B$17*loop_gain!$B$18)</f>
        <v>0.40185411492786011</v>
      </c>
      <c r="I362" s="161">
        <f t="shared" si="44"/>
        <v>3.498145885072137</v>
      </c>
      <c r="J362" s="161"/>
      <c r="K362" s="163">
        <f>IF(A362&gt;$B$15,IF(I362&gt;Helper_calcs!$B$15,23,3),0)</f>
        <v>23</v>
      </c>
      <c r="L362" s="162">
        <f t="shared" si="42"/>
        <v>2</v>
      </c>
      <c r="M362" s="162">
        <f t="shared" si="45"/>
        <v>2</v>
      </c>
      <c r="N362" s="161">
        <f t="shared" si="46"/>
        <v>3.55</v>
      </c>
      <c r="O362" s="161">
        <f t="shared" si="47"/>
        <v>4.2161520190024211</v>
      </c>
      <c r="P362" s="149">
        <f>IF(OR(M362=0,M362=3),loop_gain!$B$18,IF(Current_limit!M362=1,Current_limit!$B$12/(2*(Current_limit!N362-Helper_calcs!$B$15)),IF(OR(M362=2,M362=23),(Main!$B$18-Current_limit!O362)*Current_limit!O362/(Main!$B$18*loop_gain!$B$17*(Helper_calcs!$B$14-Helper_calcs!$B$15)),x)))</f>
        <v>1183906.4350898582</v>
      </c>
      <c r="Q362" s="161"/>
    </row>
    <row r="363" spans="1:17" x14ac:dyDescent="0.25">
      <c r="A363">
        <f t="shared" si="48"/>
        <v>4.2199999999999536</v>
      </c>
      <c r="B363">
        <f>Main!$B$19/A363</f>
        <v>1.1848341232227619</v>
      </c>
      <c r="D363" s="161">
        <f t="shared" si="41"/>
        <v>1.1848341232227619</v>
      </c>
      <c r="E363" s="161">
        <f>-B363*Main!$B$18-2*Main!$B$18*loop_gain!$B$17*loop_gain!$B$18</f>
        <v>-180.53800947867313</v>
      </c>
      <c r="F363" s="161">
        <f>2*Main!$B$18*loop_gain!$B$17*loop_gain!$B$18*Helper_calcs!$B$14*Current_limit!B363</f>
        <v>768.54028436019803</v>
      </c>
      <c r="G363" s="161">
        <f t="shared" si="43"/>
        <v>4.3830215611856369</v>
      </c>
      <c r="H363" s="161">
        <f>(Main!$B$18-Current_limit!G363)*Current_limit!G363/(Main!$B$18*loop_gain!$B$17*loop_gain!$B$18)</f>
        <v>0.40145960471872855</v>
      </c>
      <c r="I363" s="161">
        <f t="shared" si="44"/>
        <v>3.4985403952812724</v>
      </c>
      <c r="J363" s="161"/>
      <c r="K363" s="163">
        <f>IF(A363&gt;$B$15,IF(I363&gt;Helper_calcs!$B$15,23,3),0)</f>
        <v>23</v>
      </c>
      <c r="L363" s="162">
        <f t="shared" si="42"/>
        <v>2</v>
      </c>
      <c r="M363" s="162">
        <f t="shared" si="45"/>
        <v>2</v>
      </c>
      <c r="N363" s="161">
        <f t="shared" si="46"/>
        <v>3.55</v>
      </c>
      <c r="O363" s="161">
        <f t="shared" si="47"/>
        <v>4.2061611374408043</v>
      </c>
      <c r="P363" s="149">
        <f>IF(OR(M363=0,M363=3),loop_gain!$B$18,IF(Current_limit!M363=1,Current_limit!$B$12/(2*(Current_limit!N363-Helper_calcs!$B$15)),IF(OR(M363=2,M363=23),(Main!$B$18-Current_limit!O363)*Current_limit!O363/(Main!$B$18*loop_gain!$B$17*(Helper_calcs!$B$14-Helper_calcs!$B$15)),x)))</f>
        <v>1182616.9601433023</v>
      </c>
      <c r="Q363" s="161"/>
    </row>
    <row r="364" spans="1:17" x14ac:dyDescent="0.25">
      <c r="A364">
        <f t="shared" si="48"/>
        <v>4.2299999999999534</v>
      </c>
      <c r="B364">
        <f>Main!$B$19/A364</f>
        <v>1.182033096926727</v>
      </c>
      <c r="D364" s="161">
        <f t="shared" si="41"/>
        <v>1.182033096926727</v>
      </c>
      <c r="E364" s="161">
        <f>-B364*Main!$B$18-2*Main!$B$18*loop_gain!$B$17*loop_gain!$B$18</f>
        <v>-180.50439716312073</v>
      </c>
      <c r="F364" s="161">
        <f>2*Main!$B$18*loop_gain!$B$17*loop_gain!$B$18*Helper_calcs!$B$14*Current_limit!B364</f>
        <v>766.72340425532752</v>
      </c>
      <c r="G364" s="161">
        <f t="shared" si="43"/>
        <v>4.3728933212572629</v>
      </c>
      <c r="H364" s="161">
        <f>(Main!$B$18-Current_limit!G364)*Current_limit!G364/(Main!$B$18*loop_gain!$B$17*loop_gain!$B$18)</f>
        <v>0.40106450043278963</v>
      </c>
      <c r="I364" s="161">
        <f t="shared" si="44"/>
        <v>3.4989354995672088</v>
      </c>
      <c r="J364" s="161"/>
      <c r="K364" s="163">
        <f>IF(A364&gt;$B$15,IF(I364&gt;Helper_calcs!$B$15,23,3),0)</f>
        <v>23</v>
      </c>
      <c r="L364" s="162">
        <f t="shared" si="42"/>
        <v>2</v>
      </c>
      <c r="M364" s="162">
        <f t="shared" si="45"/>
        <v>2</v>
      </c>
      <c r="N364" s="161">
        <f t="shared" si="46"/>
        <v>3.55</v>
      </c>
      <c r="O364" s="161">
        <f t="shared" si="47"/>
        <v>4.1962174940898809</v>
      </c>
      <c r="P364" s="149">
        <f>IF(OR(M364=0,M364=3),loop_gain!$B$18,IF(Current_limit!M364=1,Current_limit!$B$12/(2*(Current_limit!N364-Helper_calcs!$B$15)),IF(OR(M364=2,M364=23),(Main!$B$18-Current_limit!O364)*Current_limit!O364/(Main!$B$18*loop_gain!$B$17*(Helper_calcs!$B$14-Helper_calcs!$B$15)),x)))</f>
        <v>1181326.4311461984</v>
      </c>
      <c r="Q364" s="161"/>
    </row>
    <row r="365" spans="1:17" x14ac:dyDescent="0.25">
      <c r="A365">
        <f t="shared" si="48"/>
        <v>4.2399999999999531</v>
      </c>
      <c r="B365">
        <f>Main!$B$19/A365</f>
        <v>1.1792452830188809</v>
      </c>
      <c r="D365" s="161">
        <f t="shared" si="41"/>
        <v>1.1792452830188809</v>
      </c>
      <c r="E365" s="161">
        <f>-B365*Main!$B$18-2*Main!$B$18*loop_gain!$B$17*loop_gain!$B$18</f>
        <v>-180.47094339622657</v>
      </c>
      <c r="F365" s="161">
        <f>2*Main!$B$18*loop_gain!$B$17*loop_gain!$B$18*Helper_calcs!$B$14*Current_limit!B365</f>
        <v>764.91509433963097</v>
      </c>
      <c r="G365" s="161">
        <f t="shared" si="43"/>
        <v>4.3628131936980967</v>
      </c>
      <c r="H365" s="161">
        <f>(Main!$B$18-Current_limit!G365)*Current_limit!G365/(Main!$B$18*loop_gain!$B$17*loop_gain!$B$18)</f>
        <v>0.40066882348810695</v>
      </c>
      <c r="I365" s="161">
        <f t="shared" si="44"/>
        <v>3.499331176511892</v>
      </c>
      <c r="J365" s="161"/>
      <c r="K365" s="163">
        <f>IF(A365&gt;$B$15,IF(I365&gt;Helper_calcs!$B$15,23,3),0)</f>
        <v>23</v>
      </c>
      <c r="L365" s="162">
        <f t="shared" si="42"/>
        <v>2</v>
      </c>
      <c r="M365" s="162">
        <f t="shared" si="45"/>
        <v>2</v>
      </c>
      <c r="N365" s="161">
        <f t="shared" si="46"/>
        <v>3.55</v>
      </c>
      <c r="O365" s="161">
        <f t="shared" si="47"/>
        <v>4.1863207547170269</v>
      </c>
      <c r="P365" s="149">
        <f>IF(OR(M365=0,M365=3),loop_gain!$B$18,IF(Current_limit!M365=1,Current_limit!$B$12/(2*(Current_limit!N365-Helper_calcs!$B$15)),IF(OR(M365=2,M365=23),(Main!$B$18-Current_limit!O365)*Current_limit!O365/(Main!$B$18*loop_gain!$B$17*(Helper_calcs!$B$14-Helper_calcs!$B$15)),x)))</f>
        <v>1180034.9060328209</v>
      </c>
      <c r="Q365" s="161"/>
    </row>
    <row r="366" spans="1:17" x14ac:dyDescent="0.25">
      <c r="A366">
        <f t="shared" si="48"/>
        <v>4.2499999999999529</v>
      </c>
      <c r="B366">
        <f>Main!$B$19/A366</f>
        <v>1.1764705882353073</v>
      </c>
      <c r="D366" s="161">
        <f t="shared" si="41"/>
        <v>1.1764705882353073</v>
      </c>
      <c r="E366" s="161">
        <f>-B366*Main!$B$18-2*Main!$B$18*loop_gain!$B$17*loop_gain!$B$18</f>
        <v>-180.43764705882367</v>
      </c>
      <c r="F366" s="161">
        <f>2*Main!$B$18*loop_gain!$B$17*loop_gain!$B$18*Helper_calcs!$B$14*Current_limit!B366</f>
        <v>763.11529411765548</v>
      </c>
      <c r="G366" s="161">
        <f t="shared" si="43"/>
        <v>4.3527808265110304</v>
      </c>
      <c r="H366" s="161">
        <f>(Main!$B$18-Current_limit!G366)*Current_limit!G366/(Main!$B$18*loop_gain!$B$17*loop_gain!$B$18)</f>
        <v>0.40027259493134099</v>
      </c>
      <c r="I366" s="161">
        <f t="shared" si="44"/>
        <v>3.499727405068664</v>
      </c>
      <c r="J366" s="161"/>
      <c r="K366" s="163">
        <f>IF(A366&gt;$B$15,IF(I366&gt;Helper_calcs!$B$15,23,3),0)</f>
        <v>23</v>
      </c>
      <c r="L366" s="162">
        <f t="shared" si="42"/>
        <v>2</v>
      </c>
      <c r="M366" s="162">
        <f t="shared" si="45"/>
        <v>2</v>
      </c>
      <c r="N366" s="161">
        <f t="shared" si="46"/>
        <v>3.55</v>
      </c>
      <c r="O366" s="161">
        <f t="shared" si="47"/>
        <v>4.1764705882353406</v>
      </c>
      <c r="P366" s="149">
        <f>IF(OR(M366=0,M366=3),loop_gain!$B$18,IF(Current_limit!M366=1,Current_limit!$B$12/(2*(Current_limit!N366-Helper_calcs!$B$15)),IF(OR(M366=2,M366=23),(Main!$B$18-Current_limit!O366)*Current_limit!O366/(Main!$B$18*loop_gain!$B$17*(Helper_calcs!$B$14-Helper_calcs!$B$15)),x)))</f>
        <v>1178742.441718227</v>
      </c>
      <c r="Q366" s="161"/>
    </row>
    <row r="367" spans="1:17" x14ac:dyDescent="0.25">
      <c r="A367">
        <f t="shared" si="48"/>
        <v>4.2599999999999527</v>
      </c>
      <c r="B367">
        <f>Main!$B$19/A367</f>
        <v>1.1737089201878064</v>
      </c>
      <c r="D367" s="161">
        <f t="shared" si="41"/>
        <v>1.1737089201878064</v>
      </c>
      <c r="E367" s="161">
        <f>-B367*Main!$B$18-2*Main!$B$18*loop_gain!$B$17*loop_gain!$B$18</f>
        <v>-180.40450704225367</v>
      </c>
      <c r="F367" s="161">
        <f>2*Main!$B$18*loop_gain!$B$17*loop_gain!$B$18*Helper_calcs!$B$14*Current_limit!B367</f>
        <v>761.32394366198014</v>
      </c>
      <c r="G367" s="161">
        <f t="shared" si="43"/>
        <v>4.3427958712181809</v>
      </c>
      <c r="H367" s="161">
        <f>(Main!$B$18-Current_limit!G367)*Current_limit!G367/(Main!$B$18*loop_gain!$B$17*loop_gain!$B$18)</f>
        <v>0.3998758354443061</v>
      </c>
      <c r="I367" s="161">
        <f t="shared" si="44"/>
        <v>3.5001241645556962</v>
      </c>
      <c r="J367" s="161"/>
      <c r="K367" s="163">
        <f>IF(A367&gt;$B$15,IF(I367&gt;Helper_calcs!$B$15,23,3),0)</f>
        <v>23</v>
      </c>
      <c r="L367" s="162">
        <f t="shared" si="42"/>
        <v>2</v>
      </c>
      <c r="M367" s="162">
        <f t="shared" si="45"/>
        <v>2</v>
      </c>
      <c r="N367" s="161">
        <f t="shared" si="46"/>
        <v>3.55</v>
      </c>
      <c r="O367" s="161">
        <f t="shared" si="47"/>
        <v>4.1666666666667123</v>
      </c>
      <c r="P367" s="149">
        <f>IF(OR(M367=0,M367=3),loop_gain!$B$18,IF(Current_limit!M367=1,Current_limit!$B$12/(2*(Current_limit!N367-Helper_calcs!$B$15)),IF(OR(M367=2,M367=23),(Main!$B$18-Current_limit!O367)*Current_limit!O367/(Main!$B$18*loop_gain!$B$17*(Helper_calcs!$B$14-Helper_calcs!$B$15)),x)))</f>
        <v>1177449.0941157674</v>
      </c>
      <c r="Q367" s="161"/>
    </row>
    <row r="368" spans="1:17" x14ac:dyDescent="0.25">
      <c r="A368">
        <f t="shared" si="48"/>
        <v>4.2699999999999525</v>
      </c>
      <c r="B368">
        <f>Main!$B$19/A368</f>
        <v>1.170960187353643</v>
      </c>
      <c r="D368" s="161">
        <f t="shared" si="41"/>
        <v>1.170960187353643</v>
      </c>
      <c r="E368" s="161">
        <f>-B368*Main!$B$18-2*Main!$B$18*loop_gain!$B$17*loop_gain!$B$18</f>
        <v>-180.37152224824371</v>
      </c>
      <c r="F368" s="161">
        <f>2*Main!$B$18*loop_gain!$B$17*loop_gain!$B$18*Helper_calcs!$B$14*Current_limit!B368</f>
        <v>759.54098360656576</v>
      </c>
      <c r="G368" s="161">
        <f t="shared" si="43"/>
        <v>4.3328579828159635</v>
      </c>
      <c r="H368" s="161">
        <f>(Main!$B$18-Current_limit!G368)*Current_limit!G368/(Main!$B$18*loop_gain!$B$17*loop_gain!$B$18)</f>
        <v>0.39947856535040333</v>
      </c>
      <c r="I368" s="161">
        <f t="shared" si="44"/>
        <v>3.5005214346495901</v>
      </c>
      <c r="J368" s="161"/>
      <c r="K368" s="163">
        <f>IF(A368&gt;$B$15,IF(I368&gt;Helper_calcs!$B$15,23,3),0)</f>
        <v>23</v>
      </c>
      <c r="L368" s="162">
        <f t="shared" si="42"/>
        <v>2</v>
      </c>
      <c r="M368" s="162">
        <f t="shared" si="45"/>
        <v>2</v>
      </c>
      <c r="N368" s="161">
        <f t="shared" si="46"/>
        <v>3.55</v>
      </c>
      <c r="O368" s="161">
        <f t="shared" si="47"/>
        <v>4.1569086651054326</v>
      </c>
      <c r="P368" s="149">
        <f>IF(OR(M368=0,M368=3),loop_gain!$B$18,IF(Current_limit!M368=1,Current_limit!$B$12/(2*(Current_limit!N368-Helper_calcs!$B$15)),IF(OR(M368=2,M368=23),(Main!$B$18-Current_limit!O368)*Current_limit!O368/(Main!$B$18*loop_gain!$B$17*(Helper_calcs!$B$14-Helper_calcs!$B$15)),x)))</f>
        <v>1176154.9181542774</v>
      </c>
      <c r="Q368" s="161"/>
    </row>
    <row r="369" spans="1:17" x14ac:dyDescent="0.25">
      <c r="A369">
        <f t="shared" si="48"/>
        <v>4.2799999999999523</v>
      </c>
      <c r="B369">
        <f>Main!$B$19/A369</f>
        <v>1.1682242990654337</v>
      </c>
      <c r="D369" s="161">
        <f t="shared" si="41"/>
        <v>1.1682242990654337</v>
      </c>
      <c r="E369" s="161">
        <f>-B369*Main!$B$18-2*Main!$B$18*loop_gain!$B$17*loop_gain!$B$18</f>
        <v>-180.3386915887852</v>
      </c>
      <c r="F369" s="161">
        <f>2*Main!$B$18*loop_gain!$B$17*loop_gain!$B$18*Helper_calcs!$B$14*Current_limit!B369</f>
        <v>757.76635514019529</v>
      </c>
      <c r="G369" s="161">
        <f t="shared" si="43"/>
        <v>4.3229668197308104</v>
      </c>
      <c r="H369" s="161">
        <f>(Main!$B$18-Current_limit!G369)*Current_limit!G369/(Main!$B$18*loop_gain!$B$17*loop_gain!$B$18)</f>
        <v>0.39908080462092599</v>
      </c>
      <c r="I369" s="161">
        <f t="shared" si="44"/>
        <v>3.500919195379069</v>
      </c>
      <c r="J369" s="161"/>
      <c r="K369" s="163">
        <f>IF(A369&gt;$B$15,IF(I369&gt;Helper_calcs!$B$15,23,3),0)</f>
        <v>23</v>
      </c>
      <c r="L369" s="162">
        <f t="shared" si="42"/>
        <v>2</v>
      </c>
      <c r="M369" s="162">
        <f t="shared" si="45"/>
        <v>2</v>
      </c>
      <c r="N369" s="161">
        <f t="shared" si="46"/>
        <v>3.55</v>
      </c>
      <c r="O369" s="161">
        <f t="shared" si="47"/>
        <v>4.1471962616822893</v>
      </c>
      <c r="P369" s="149">
        <f>IF(OR(M369=0,M369=3),loop_gain!$B$18,IF(Current_limit!M369=1,Current_limit!$B$12/(2*(Current_limit!N369-Helper_calcs!$B$15)),IF(OR(M369=2,M369=23),(Main!$B$18-Current_limit!O369)*Current_limit!O369/(Main!$B$18*loop_gain!$B$17*(Helper_calcs!$B$14-Helper_calcs!$B$15)),x)))</f>
        <v>1174859.9677949471</v>
      </c>
      <c r="Q369" s="161"/>
    </row>
    <row r="370" spans="1:17" x14ac:dyDescent="0.25">
      <c r="A370">
        <f t="shared" si="48"/>
        <v>4.2899999999999521</v>
      </c>
      <c r="B370">
        <f>Main!$B$19/A370</f>
        <v>1.1655011655011784</v>
      </c>
      <c r="D370" s="161">
        <f t="shared" si="41"/>
        <v>1.1655011655011784</v>
      </c>
      <c r="E370" s="161">
        <f>-B370*Main!$B$18-2*Main!$B$18*loop_gain!$B$17*loop_gain!$B$18</f>
        <v>-180.30601398601414</v>
      </c>
      <c r="F370" s="161">
        <f>2*Main!$B$18*loop_gain!$B$17*loop_gain!$B$18*Helper_calcs!$B$14*Current_limit!B370</f>
        <v>756.0000000000083</v>
      </c>
      <c r="G370" s="161">
        <f t="shared" si="43"/>
        <v>4.3131220437755431</v>
      </c>
      <c r="H370" s="161">
        <f>(Main!$B$18-Current_limit!G370)*Current_limit!G370/(Main!$B$18*loop_gain!$B$17*loop_gain!$B$18)</f>
        <v>0.39868257288124104</v>
      </c>
      <c r="I370" s="161">
        <f t="shared" si="44"/>
        <v>3.5013174271187544</v>
      </c>
      <c r="J370" s="161"/>
      <c r="K370" s="163">
        <f>IF(A370&gt;$B$15,IF(I370&gt;Helper_calcs!$B$15,23,3),0)</f>
        <v>23</v>
      </c>
      <c r="L370" s="162">
        <f t="shared" si="42"/>
        <v>2</v>
      </c>
      <c r="M370" s="162">
        <f t="shared" si="45"/>
        <v>2</v>
      </c>
      <c r="N370" s="161">
        <f t="shared" si="46"/>
        <v>3.55</v>
      </c>
      <c r="O370" s="161">
        <f t="shared" si="47"/>
        <v>4.1375291375291834</v>
      </c>
      <c r="P370" s="149">
        <f>IF(OR(M370=0,M370=3),loop_gain!$B$18,IF(Current_limit!M370=1,Current_limit!$B$12/(2*(Current_limit!N370-Helper_calcs!$B$15)),IF(OR(M370=2,M370=23),(Main!$B$18-Current_limit!O370)*Current_limit!O370/(Main!$B$18*loop_gain!$B$17*(Helper_calcs!$B$14-Helper_calcs!$B$15)),x)))</f>
        <v>1173564.2960478796</v>
      </c>
      <c r="Q370" s="161"/>
    </row>
    <row r="371" spans="1:17" x14ac:dyDescent="0.25">
      <c r="A371">
        <f t="shared" si="48"/>
        <v>4.2999999999999519</v>
      </c>
      <c r="B371">
        <f>Main!$B$19/A371</f>
        <v>1.1627906976744316</v>
      </c>
      <c r="D371" s="161">
        <f t="shared" si="41"/>
        <v>1.1627906976744316</v>
      </c>
      <c r="E371" s="161">
        <f>-B371*Main!$B$18-2*Main!$B$18*loop_gain!$B$17*loop_gain!$B$18</f>
        <v>-180.27348837209317</v>
      </c>
      <c r="F371" s="161">
        <f>2*Main!$B$18*loop_gain!$B$17*loop_gain!$B$18*Helper_calcs!$B$14*Current_limit!B371</f>
        <v>754.24186046512455</v>
      </c>
      <c r="G371" s="161">
        <f t="shared" si="43"/>
        <v>4.3033233201065295</v>
      </c>
      <c r="H371" s="161">
        <f>(Main!$B$18-Current_limit!G371)*Current_limit!G371/(Main!$B$18*loop_gain!$B$17*loop_gain!$B$18)</f>
        <v>0.39828388941685505</v>
      </c>
      <c r="I371" s="161">
        <f t="shared" si="44"/>
        <v>3.5017161105831467</v>
      </c>
      <c r="J371" s="161"/>
      <c r="K371" s="163">
        <f>IF(A371&gt;$B$15,IF(I371&gt;Helper_calcs!$B$15,23,3),0)</f>
        <v>23</v>
      </c>
      <c r="L371" s="162">
        <f t="shared" si="42"/>
        <v>2</v>
      </c>
      <c r="M371" s="162">
        <f t="shared" si="45"/>
        <v>2</v>
      </c>
      <c r="N371" s="161">
        <f t="shared" si="46"/>
        <v>3.55</v>
      </c>
      <c r="O371" s="161">
        <f t="shared" si="47"/>
        <v>4.1279069767442316</v>
      </c>
      <c r="P371" s="149">
        <f>IF(OR(M371=0,M371=3),loop_gain!$B$18,IF(Current_limit!M371=1,Current_limit!$B$12/(2*(Current_limit!N371-Helper_calcs!$B$15)),IF(OR(M371=2,M371=23),(Main!$B$18-Current_limit!O371)*Current_limit!O371/(Main!$B$18*loop_gain!$B$17*(Helper_calcs!$B$14-Helper_calcs!$B$15)),x)))</f>
        <v>1172267.9549883511</v>
      </c>
      <c r="Q371" s="161"/>
    </row>
    <row r="372" spans="1:17" x14ac:dyDescent="0.25">
      <c r="A372">
        <f t="shared" si="48"/>
        <v>4.3099999999999516</v>
      </c>
      <c r="B372">
        <f>Main!$B$19/A372</f>
        <v>1.1600928074246071</v>
      </c>
      <c r="D372" s="161">
        <f t="shared" si="41"/>
        <v>1.1600928074246071</v>
      </c>
      <c r="E372" s="161">
        <f>-B372*Main!$B$18-2*Main!$B$18*loop_gain!$B$17*loop_gain!$B$18</f>
        <v>-180.24111368909527</v>
      </c>
      <c r="F372" s="161">
        <f>2*Main!$B$18*loop_gain!$B$17*loop_gain!$B$18*Helper_calcs!$B$14*Current_limit!B372</f>
        <v>752.49187935035638</v>
      </c>
      <c r="G372" s="161">
        <f t="shared" si="43"/>
        <v>4.2935703171813966</v>
      </c>
      <c r="H372" s="161">
        <f>(Main!$B$18-Current_limit!G372)*Current_limit!G372/(Main!$B$18*loop_gain!$B$17*loop_gain!$B$18)</f>
        <v>0.39788477317936033</v>
      </c>
      <c r="I372" s="161">
        <f t="shared" si="44"/>
        <v>3.5021152268206421</v>
      </c>
      <c r="J372" s="161"/>
      <c r="K372" s="163">
        <f>IF(A372&gt;$B$15,IF(I372&gt;Helper_calcs!$B$15,23,3),0)</f>
        <v>23</v>
      </c>
      <c r="L372" s="162">
        <f t="shared" si="42"/>
        <v>2</v>
      </c>
      <c r="M372" s="162">
        <f t="shared" si="45"/>
        <v>2</v>
      </c>
      <c r="N372" s="161">
        <f t="shared" si="46"/>
        <v>3.55</v>
      </c>
      <c r="O372" s="161">
        <f t="shared" si="47"/>
        <v>4.1183294663573546</v>
      </c>
      <c r="P372" s="149">
        <f>IF(OR(M372=0,M372=3),loop_gain!$B$18,IF(Current_limit!M372=1,Current_limit!$B$12/(2*(Current_limit!N372-Helper_calcs!$B$15)),IF(OR(M372=2,M372=23),(Main!$B$18-Current_limit!O372)*Current_limit!O372/(Main!$B$18*loop_gain!$B$17*(Helper_calcs!$B$14-Helper_calcs!$B$15)),x)))</f>
        <v>1170970.9957727641</v>
      </c>
      <c r="Q372" s="161"/>
    </row>
    <row r="373" spans="1:17" x14ac:dyDescent="0.25">
      <c r="A373">
        <f t="shared" si="48"/>
        <v>4.3199999999999514</v>
      </c>
      <c r="B373">
        <f>Main!$B$19/A373</f>
        <v>1.1574074074074203</v>
      </c>
      <c r="D373" s="161">
        <f t="shared" si="41"/>
        <v>1.1574074074074203</v>
      </c>
      <c r="E373" s="161">
        <f>-B373*Main!$B$18-2*Main!$B$18*loop_gain!$B$17*loop_gain!$B$18</f>
        <v>-180.20888888888905</v>
      </c>
      <c r="F373" s="161">
        <f>2*Main!$B$18*loop_gain!$B$17*loop_gain!$B$18*Helper_calcs!$B$14*Current_limit!B373</f>
        <v>750.7500000000083</v>
      </c>
      <c r="G373" s="161">
        <f t="shared" si="43"/>
        <v>4.2838627067174873</v>
      </c>
      <c r="H373" s="161">
        <f>(Main!$B$18-Current_limit!G373)*Current_limit!G373/(Main!$B$18*loop_gain!$B$17*loop_gain!$B$18)</f>
        <v>0.39748524279226755</v>
      </c>
      <c r="I373" s="161">
        <f t="shared" si="44"/>
        <v>3.502514757207734</v>
      </c>
      <c r="J373" s="161"/>
      <c r="K373" s="163">
        <f>IF(A373&gt;$B$15,IF(I373&gt;Helper_calcs!$B$15,23,3),0)</f>
        <v>23</v>
      </c>
      <c r="L373" s="162">
        <f t="shared" si="42"/>
        <v>2</v>
      </c>
      <c r="M373" s="162">
        <f t="shared" si="45"/>
        <v>2</v>
      </c>
      <c r="N373" s="161">
        <f t="shared" si="46"/>
        <v>3.55</v>
      </c>
      <c r="O373" s="161">
        <f t="shared" si="47"/>
        <v>4.108796296296342</v>
      </c>
      <c r="P373" s="149">
        <f>IF(OR(M373=0,M373=3),loop_gain!$B$18,IF(Current_limit!M373=1,Current_limit!$B$12/(2*(Current_limit!N373-Helper_calcs!$B$15)),IF(OR(M373=2,M373=23),(Main!$B$18-Current_limit!O373)*Current_limit!O373/(Main!$B$18*loop_gain!$B$17*(Helper_calcs!$B$14-Helper_calcs!$B$15)),x)))</f>
        <v>1169673.4686543138</v>
      </c>
      <c r="Q373" s="161"/>
    </row>
    <row r="374" spans="1:17" x14ac:dyDescent="0.25">
      <c r="A374">
        <f t="shared" si="48"/>
        <v>4.3299999999999512</v>
      </c>
      <c r="B374">
        <f>Main!$B$19/A374</f>
        <v>1.1547344110854634</v>
      </c>
      <c r="D374" s="161">
        <f t="shared" si="41"/>
        <v>1.1547344110854634</v>
      </c>
      <c r="E374" s="161">
        <f>-B374*Main!$B$18-2*Main!$B$18*loop_gain!$B$17*loop_gain!$B$18</f>
        <v>-180.17681293302556</v>
      </c>
      <c r="F374" s="161">
        <f>2*Main!$B$18*loop_gain!$B$17*loop_gain!$B$18*Helper_calcs!$B$14*Current_limit!B374</f>
        <v>749.0161662817635</v>
      </c>
      <c r="G374" s="161">
        <f t="shared" si="43"/>
        <v>4.2742001636508986</v>
      </c>
      <c r="H374" s="161">
        <f>(Main!$B$18-Current_limit!G374)*Current_limit!G374/(Main!$B$18*loop_gain!$B$17*loop_gain!$B$18)</f>
        <v>0.39708531655672702</v>
      </c>
      <c r="I374" s="161">
        <f t="shared" si="44"/>
        <v>3.5029146834432727</v>
      </c>
      <c r="J374" s="161"/>
      <c r="K374" s="163">
        <f>IF(A374&gt;$B$15,IF(I374&gt;Helper_calcs!$B$15,23,3),0)</f>
        <v>23</v>
      </c>
      <c r="L374" s="162">
        <f t="shared" si="42"/>
        <v>2</v>
      </c>
      <c r="M374" s="162">
        <f t="shared" si="45"/>
        <v>2</v>
      </c>
      <c r="N374" s="161">
        <f t="shared" si="46"/>
        <v>3.55</v>
      </c>
      <c r="O374" s="161">
        <f t="shared" si="47"/>
        <v>4.099307159353395</v>
      </c>
      <c r="P374" s="149">
        <f>IF(OR(M374=0,M374=3),loop_gain!$B$18,IF(Current_limit!M374=1,Current_limit!$B$12/(2*(Current_limit!N374-Helper_calcs!$B$15)),IF(OR(M374=2,M374=23),(Main!$B$18-Current_limit!O374)*Current_limit!O374/(Main!$B$18*loop_gain!$B$17*(Helper_calcs!$B$14-Helper_calcs!$B$15)),x)))</f>
        <v>1168375.4229983676</v>
      </c>
      <c r="Q374" s="161"/>
    </row>
    <row r="375" spans="1:17" x14ac:dyDescent="0.25">
      <c r="A375">
        <f t="shared" si="48"/>
        <v>4.339999999999951</v>
      </c>
      <c r="B375">
        <f>Main!$B$19/A375</f>
        <v>1.152073732718907</v>
      </c>
      <c r="D375" s="161">
        <f t="shared" si="41"/>
        <v>1.152073732718907</v>
      </c>
      <c r="E375" s="161">
        <f>-B375*Main!$B$18-2*Main!$B$18*loop_gain!$B$17*loop_gain!$B$18</f>
        <v>-180.14488479262687</v>
      </c>
      <c r="F375" s="161">
        <f>2*Main!$B$18*loop_gain!$B$17*loop_gain!$B$18*Helper_calcs!$B$14*Current_limit!B375</f>
        <v>747.29032258065354</v>
      </c>
      <c r="G375" s="161">
        <f t="shared" si="43"/>
        <v>4.264582366096163</v>
      </c>
      <c r="H375" s="161">
        <f>(Main!$B$18-Current_limit!G375)*Current_limit!G375/(Main!$B$18*loop_gain!$B$17*loop_gain!$B$18)</f>
        <v>0.39668501245713816</v>
      </c>
      <c r="I375" s="161">
        <f t="shared" si="44"/>
        <v>3.5033149875428586</v>
      </c>
      <c r="J375" s="161"/>
      <c r="K375" s="163">
        <f>IF(A375&gt;$B$15,IF(I375&gt;Helper_calcs!$B$15,23,3),0)</f>
        <v>23</v>
      </c>
      <c r="L375" s="162">
        <f t="shared" si="42"/>
        <v>2</v>
      </c>
      <c r="M375" s="162">
        <f t="shared" si="45"/>
        <v>2</v>
      </c>
      <c r="N375" s="161">
        <f t="shared" si="46"/>
        <v>3.55</v>
      </c>
      <c r="O375" s="161">
        <f t="shared" si="47"/>
        <v>4.08986175115212</v>
      </c>
      <c r="P375" s="149">
        <f>IF(OR(M375=0,M375=3),loop_gain!$B$18,IF(Current_limit!M375=1,Current_limit!$B$12/(2*(Current_limit!N375-Helper_calcs!$B$15)),IF(OR(M375=2,M375=23),(Main!$B$18-Current_limit!O375)*Current_limit!O375/(Main!$B$18*loop_gain!$B$17*(Helper_calcs!$B$14-Helper_calcs!$B$15)),x)))</f>
        <v>1167076.9072975602</v>
      </c>
      <c r="Q375" s="161"/>
    </row>
    <row r="376" spans="1:17" x14ac:dyDescent="0.25">
      <c r="A376">
        <f t="shared" si="48"/>
        <v>4.3499999999999508</v>
      </c>
      <c r="B376">
        <f>Main!$B$19/A376</f>
        <v>1.1494252873563349</v>
      </c>
      <c r="D376" s="161">
        <f t="shared" si="41"/>
        <v>1.1494252873563349</v>
      </c>
      <c r="E376" s="161">
        <f>-B376*Main!$B$18-2*Main!$B$18*loop_gain!$B$17*loop_gain!$B$18</f>
        <v>-180.11310344827601</v>
      </c>
      <c r="F376" s="161">
        <f>2*Main!$B$18*loop_gain!$B$17*loop_gain!$B$18*Helper_calcs!$B$14*Current_limit!B376</f>
        <v>745.57241379311176</v>
      </c>
      <c r="G376" s="161">
        <f t="shared" si="43"/>
        <v>4.2550089953065653</v>
      </c>
      <c r="H376" s="161">
        <f>(Main!$B$18-Current_limit!G376)*Current_limit!G376/(Main!$B$18*loop_gain!$B$17*loop_gain!$B$18)</f>
        <v>0.39628434816665459</v>
      </c>
      <c r="I376" s="161">
        <f t="shared" si="44"/>
        <v>3.5037156518333425</v>
      </c>
      <c r="J376" s="161"/>
      <c r="K376" s="163">
        <f>IF(A376&gt;$B$15,IF(I376&gt;Helper_calcs!$B$15,23,3),0)</f>
        <v>23</v>
      </c>
      <c r="L376" s="162">
        <f t="shared" si="42"/>
        <v>2</v>
      </c>
      <c r="M376" s="162">
        <f t="shared" si="45"/>
        <v>2</v>
      </c>
      <c r="N376" s="161">
        <f t="shared" si="46"/>
        <v>3.55</v>
      </c>
      <c r="O376" s="161">
        <f t="shared" si="47"/>
        <v>4.0804597701149889</v>
      </c>
      <c r="P376" s="149">
        <f>IF(OR(M376=0,M376=3),loop_gain!$B$18,IF(Current_limit!M376=1,Current_limit!$B$12/(2*(Current_limit!N376-Helper_calcs!$B$15)),IF(OR(M376=2,M376=23),(Main!$B$18-Current_limit!O376)*Current_limit!O376/(Main!$B$18*loop_gain!$B$17*(Helper_calcs!$B$14-Helper_calcs!$B$15)),x)))</f>
        <v>1165777.9691866166</v>
      </c>
      <c r="Q376" s="161"/>
    </row>
    <row r="377" spans="1:17" x14ac:dyDescent="0.25">
      <c r="A377">
        <f t="shared" si="48"/>
        <v>4.3599999999999506</v>
      </c>
      <c r="B377">
        <f>Main!$B$19/A377</f>
        <v>1.1467889908257012</v>
      </c>
      <c r="D377" s="161">
        <f t="shared" si="41"/>
        <v>1.1467889908257012</v>
      </c>
      <c r="E377" s="161">
        <f>-B377*Main!$B$18-2*Main!$B$18*loop_gain!$B$17*loop_gain!$B$18</f>
        <v>-180.0814678899084</v>
      </c>
      <c r="F377" s="161">
        <f>2*Main!$B$18*loop_gain!$B$17*loop_gain!$B$18*Helper_calcs!$B$14*Current_limit!B377</f>
        <v>743.86238532110929</v>
      </c>
      <c r="G377" s="161">
        <f t="shared" si="43"/>
        <v>4.2454797356350307</v>
      </c>
      <c r="H377" s="161">
        <f>(Main!$B$18-Current_limit!G377)*Current_limit!G377/(Main!$B$18*loop_gain!$B$17*loop_gain!$B$18)</f>
        <v>0.39588334105258155</v>
      </c>
      <c r="I377" s="161">
        <f t="shared" si="44"/>
        <v>3.5041166589474138</v>
      </c>
      <c r="J377" s="161"/>
      <c r="K377" s="163">
        <f>IF(A377&gt;$B$15,IF(I377&gt;Helper_calcs!$B$15,23,3),0)</f>
        <v>23</v>
      </c>
      <c r="L377" s="162">
        <f t="shared" si="42"/>
        <v>2</v>
      </c>
      <c r="M377" s="162">
        <f t="shared" si="45"/>
        <v>2</v>
      </c>
      <c r="N377" s="161">
        <f t="shared" si="46"/>
        <v>3.55</v>
      </c>
      <c r="O377" s="161">
        <f t="shared" si="47"/>
        <v>4.0711009174312389</v>
      </c>
      <c r="P377" s="149">
        <f>IF(OR(M377=0,M377=3),loop_gain!$B$18,IF(Current_limit!M377=1,Current_limit!$B$12/(2*(Current_limit!N377-Helper_calcs!$B$15)),IF(OR(M377=2,M377=23),(Main!$B$18-Current_limit!O377)*Current_limit!O377/(Main!$B$18*loop_gain!$B$17*(Helper_calcs!$B$14-Helper_calcs!$B$15)),x)))</f>
        <v>1164478.6554569048</v>
      </c>
      <c r="Q377" s="161"/>
    </row>
    <row r="378" spans="1:17" x14ac:dyDescent="0.25">
      <c r="A378">
        <f t="shared" si="48"/>
        <v>4.3699999999999504</v>
      </c>
      <c r="B378">
        <f>Main!$B$19/A378</f>
        <v>1.1441647597254134</v>
      </c>
      <c r="D378" s="161">
        <f t="shared" si="41"/>
        <v>1.1441647597254134</v>
      </c>
      <c r="E378" s="161">
        <f>-B378*Main!$B$18-2*Main!$B$18*loop_gain!$B$17*loop_gain!$B$18</f>
        <v>-180.04997711670495</v>
      </c>
      <c r="F378" s="161">
        <f>2*Main!$B$18*loop_gain!$B$17*loop_gain!$B$18*Helper_calcs!$B$14*Current_limit!B378</f>
        <v>742.16018306636988</v>
      </c>
      <c r="G378" s="161">
        <f t="shared" si="43"/>
        <v>4.2359942744956536</v>
      </c>
      <c r="H378" s="161">
        <f>(Main!$B$18-Current_limit!G378)*Current_limit!G378/(Main!$B$18*loop_gain!$B$17*loop_gain!$B$18)</f>
        <v>0.39548200818167245</v>
      </c>
      <c r="I378" s="161">
        <f t="shared" si="44"/>
        <v>3.5045179918183229</v>
      </c>
      <c r="J378" s="161"/>
      <c r="K378" s="163">
        <f>IF(A378&gt;$B$15,IF(I378&gt;Helper_calcs!$B$15,23,3),0)</f>
        <v>23</v>
      </c>
      <c r="L378" s="162">
        <f t="shared" si="42"/>
        <v>2</v>
      </c>
      <c r="M378" s="162">
        <f t="shared" si="45"/>
        <v>2</v>
      </c>
      <c r="N378" s="161">
        <f t="shared" si="46"/>
        <v>3.55</v>
      </c>
      <c r="O378" s="161">
        <f t="shared" si="47"/>
        <v>4.0617848970252171</v>
      </c>
      <c r="P378" s="149">
        <f>IF(OR(M378=0,M378=3),loop_gain!$B$18,IF(Current_limit!M378=1,Current_limit!$B$12/(2*(Current_limit!N378-Helper_calcs!$B$15)),IF(OR(M378=2,M378=23),(Main!$B$18-Current_limit!O378)*Current_limit!O378/(Main!$B$18*loop_gain!$B$17*(Helper_calcs!$B$14-Helper_calcs!$B$15)),x)))</f>
        <v>1163179.0120707238</v>
      </c>
      <c r="Q378" s="161"/>
    </row>
    <row r="379" spans="1:17" x14ac:dyDescent="0.25">
      <c r="A379">
        <f t="shared" si="48"/>
        <v>4.3799999999999502</v>
      </c>
      <c r="B379">
        <f>Main!$B$19/A379</f>
        <v>1.141552511415538</v>
      </c>
      <c r="D379" s="161">
        <f t="shared" si="41"/>
        <v>1.141552511415538</v>
      </c>
      <c r="E379" s="161">
        <f>-B379*Main!$B$18-2*Main!$B$18*loop_gain!$B$17*loop_gain!$B$18</f>
        <v>-180.01863013698645</v>
      </c>
      <c r="F379" s="161">
        <f>2*Main!$B$18*loop_gain!$B$17*loop_gain!$B$18*Helper_calcs!$B$14*Current_limit!B379</f>
        <v>740.46575342466576</v>
      </c>
      <c r="G379" s="161">
        <f t="shared" si="43"/>
        <v>4.2265523023257705</v>
      </c>
      <c r="H379" s="161">
        <f>(Main!$B$18-Current_limit!G379)*Current_limit!G379/(Main!$B$18*loop_gain!$B$17*loop_gain!$B$18)</f>
        <v>0.39508036632532445</v>
      </c>
      <c r="I379" s="161">
        <f t="shared" si="44"/>
        <v>3.5049196336746706</v>
      </c>
      <c r="J379" s="161"/>
      <c r="K379" s="163">
        <f>IF(A379&gt;$B$15,IF(I379&gt;Helper_calcs!$B$15,23,3),0)</f>
        <v>23</v>
      </c>
      <c r="L379" s="162">
        <f t="shared" si="42"/>
        <v>2</v>
      </c>
      <c r="M379" s="162">
        <f t="shared" si="45"/>
        <v>2</v>
      </c>
      <c r="N379" s="161">
        <f t="shared" si="46"/>
        <v>3.55</v>
      </c>
      <c r="O379" s="161">
        <f t="shared" si="47"/>
        <v>4.05251141552516</v>
      </c>
      <c r="P379" s="149">
        <f>IF(OR(M379=0,M379=3),loop_gain!$B$18,IF(Current_limit!M379=1,Current_limit!$B$12/(2*(Current_limit!N379-Helper_calcs!$B$15)),IF(OR(M379=2,M379=23),(Main!$B$18-Current_limit!O379)*Current_limit!O379/(Main!$B$18*loop_gain!$B$17*(Helper_calcs!$B$14-Helper_calcs!$B$15)),x)))</f>
        <v>1161879.0841753318</v>
      </c>
      <c r="Q379" s="161"/>
    </row>
    <row r="380" spans="1:17" x14ac:dyDescent="0.25">
      <c r="A380">
        <f t="shared" si="48"/>
        <v>4.3899999999999499</v>
      </c>
      <c r="B380">
        <f>Main!$B$19/A380</f>
        <v>1.1389521640091247</v>
      </c>
      <c r="D380" s="161">
        <f t="shared" si="41"/>
        <v>1.1389521640091247</v>
      </c>
      <c r="E380" s="161">
        <f>-B380*Main!$B$18-2*Main!$B$18*loop_gain!$B$17*loop_gain!$B$18</f>
        <v>-179.98742596810948</v>
      </c>
      <c r="F380" s="161">
        <f>2*Main!$B$18*loop_gain!$B$17*loop_gain!$B$18*Helper_calcs!$B$14*Current_limit!B380</f>
        <v>738.77904328019065</v>
      </c>
      <c r="G380" s="161">
        <f t="shared" si="43"/>
        <v>4.2171535125486308</v>
      </c>
      <c r="H380" s="161">
        <f>(Main!$B$18-Current_limit!G380)*Current_limit!G380/(Main!$B$18*loop_gain!$B$17*loop_gain!$B$18)</f>
        <v>0.39467843196467434</v>
      </c>
      <c r="I380" s="161">
        <f t="shared" si="44"/>
        <v>3.5053215680353182</v>
      </c>
      <c r="J380" s="161"/>
      <c r="K380" s="163">
        <f>IF(A380&gt;$B$15,IF(I380&gt;Helper_calcs!$B$15,23,3),0)</f>
        <v>23</v>
      </c>
      <c r="L380" s="162">
        <f t="shared" si="42"/>
        <v>2</v>
      </c>
      <c r="M380" s="162">
        <f t="shared" si="45"/>
        <v>2</v>
      </c>
      <c r="N380" s="161">
        <f t="shared" si="46"/>
        <v>3.55</v>
      </c>
      <c r="O380" s="161">
        <f t="shared" si="47"/>
        <v>4.0432801822323921</v>
      </c>
      <c r="P380" s="149">
        <f>IF(OR(M380=0,M380=3),loop_gain!$B$18,IF(Current_limit!M380=1,Current_limit!$B$12/(2*(Current_limit!N380-Helper_calcs!$B$15)),IF(OR(M380=2,M380=23),(Main!$B$18-Current_limit!O380)*Current_limit!O380/(Main!$B$18*loop_gain!$B$17*(Helper_calcs!$B$14-Helper_calcs!$B$15)),x)))</f>
        <v>1160578.916116721</v>
      </c>
      <c r="Q380" s="161"/>
    </row>
    <row r="381" spans="1:17" x14ac:dyDescent="0.25">
      <c r="A381">
        <f t="shared" si="48"/>
        <v>4.3999999999999497</v>
      </c>
      <c r="B381">
        <f>Main!$B$19/A381</f>
        <v>1.1363636363636493</v>
      </c>
      <c r="D381" s="161">
        <f t="shared" si="41"/>
        <v>1.1363636363636493</v>
      </c>
      <c r="E381" s="161">
        <f>-B381*Main!$B$18-2*Main!$B$18*loop_gain!$B$17*loop_gain!$B$18</f>
        <v>-179.95636363636379</v>
      </c>
      <c r="F381" s="161">
        <f>2*Main!$B$18*loop_gain!$B$17*loop_gain!$B$18*Helper_calcs!$B$14*Current_limit!B381</f>
        <v>737.10000000000832</v>
      </c>
      <c r="G381" s="161">
        <f t="shared" si="43"/>
        <v>4.2077976015366323</v>
      </c>
      <c r="H381" s="161">
        <f>(Main!$B$18-Current_limit!G381)*Current_limit!G381/(Main!$B$18*loop_gain!$B$17*loop_gain!$B$18)</f>
        <v>0.39427622129560075</v>
      </c>
      <c r="I381" s="161">
        <f t="shared" si="44"/>
        <v>3.5057237787043936</v>
      </c>
      <c r="J381" s="161"/>
      <c r="K381" s="163">
        <f>IF(A381&gt;$B$15,IF(I381&gt;Helper_calcs!$B$15,23,3),0)</f>
        <v>23</v>
      </c>
      <c r="L381" s="162">
        <f t="shared" si="42"/>
        <v>2</v>
      </c>
      <c r="M381" s="162">
        <f t="shared" si="45"/>
        <v>2</v>
      </c>
      <c r="N381" s="161">
        <f t="shared" si="46"/>
        <v>3.55</v>
      </c>
      <c r="O381" s="161">
        <f t="shared" si="47"/>
        <v>4.0340909090909554</v>
      </c>
      <c r="P381" s="149">
        <f>IF(OR(M381=0,M381=3),loop_gain!$B$18,IF(Current_limit!M381=1,Current_limit!$B$12/(2*(Current_limit!N381-Helper_calcs!$B$15)),IF(OR(M381=2,M381=23),(Main!$B$18-Current_limit!O381)*Current_limit!O381/(Main!$B$18*loop_gain!$B$17*(Helper_calcs!$B$14-Helper_calcs!$B$15)),x)))</f>
        <v>1159278.5514531452</v>
      </c>
      <c r="Q381" s="161"/>
    </row>
    <row r="382" spans="1:17" x14ac:dyDescent="0.25">
      <c r="A382">
        <f t="shared" si="48"/>
        <v>4.4099999999999495</v>
      </c>
      <c r="B382">
        <f>Main!$B$19/A382</f>
        <v>1.1337868480725752</v>
      </c>
      <c r="D382" s="161">
        <f t="shared" si="41"/>
        <v>1.1337868480725752</v>
      </c>
      <c r="E382" s="161">
        <f>-B382*Main!$B$18-2*Main!$B$18*loop_gain!$B$17*loop_gain!$B$18</f>
        <v>-179.92544217687089</v>
      </c>
      <c r="F382" s="161">
        <f>2*Main!$B$18*loop_gain!$B$17*loop_gain!$B$18*Helper_calcs!$B$14*Current_limit!B382</f>
        <v>735.42857142857963</v>
      </c>
      <c r="G382" s="161">
        <f t="shared" si="43"/>
        <v>4.1984842685750925</v>
      </c>
      <c r="H382" s="161">
        <f>(Main!$B$18-Current_limit!G382)*Current_limit!G382/(Main!$B$18*loop_gain!$B$17*loop_gain!$B$18)</f>
        <v>0.39387375023362897</v>
      </c>
      <c r="I382" s="161">
        <f t="shared" si="44"/>
        <v>3.5061262497663748</v>
      </c>
      <c r="J382" s="161"/>
      <c r="K382" s="163">
        <f>IF(A382&gt;$B$15,IF(I382&gt;Helper_calcs!$B$15,23,3),0)</f>
        <v>23</v>
      </c>
      <c r="L382" s="162">
        <f t="shared" si="42"/>
        <v>2</v>
      </c>
      <c r="M382" s="162">
        <f t="shared" si="45"/>
        <v>2</v>
      </c>
      <c r="N382" s="161">
        <f t="shared" si="46"/>
        <v>3.55</v>
      </c>
      <c r="O382" s="161">
        <f t="shared" si="47"/>
        <v>4.0249433106576422</v>
      </c>
      <c r="P382" s="149">
        <f>IF(OR(M382=0,M382=3),loop_gain!$B$18,IF(Current_limit!M382=1,Current_limit!$B$12/(2*(Current_limit!N382-Helper_calcs!$B$15)),IF(OR(M382=2,M382=23),(Main!$B$18-Current_limit!O382)*Current_limit!O382/(Main!$B$18*loop_gain!$B$17*(Helper_calcs!$B$14-Helper_calcs!$B$15)),x)))</f>
        <v>1157978.0329683989</v>
      </c>
      <c r="Q382" s="161"/>
    </row>
    <row r="383" spans="1:17" x14ac:dyDescent="0.25">
      <c r="A383">
        <f t="shared" si="48"/>
        <v>4.4199999999999493</v>
      </c>
      <c r="B383">
        <f>Main!$B$19/A383</f>
        <v>1.1312217194570267</v>
      </c>
      <c r="D383" s="161">
        <f t="shared" si="41"/>
        <v>1.1312217194570267</v>
      </c>
      <c r="E383" s="161">
        <f>-B383*Main!$B$18-2*Main!$B$18*loop_gain!$B$17*loop_gain!$B$18</f>
        <v>-179.89466063348431</v>
      </c>
      <c r="F383" s="161">
        <f>2*Main!$B$18*loop_gain!$B$17*loop_gain!$B$18*Helper_calcs!$B$14*Current_limit!B383</f>
        <v>733.76470588236134</v>
      </c>
      <c r="G383" s="161">
        <f t="shared" si="43"/>
        <v>4.1892132158265518</v>
      </c>
      <c r="H383" s="161">
        <f>(Main!$B$18-Current_limit!G383)*Current_limit!G383/(Main!$B$18*loop_gain!$B$17*loop_gain!$B$18)</f>
        <v>0.39347103441874437</v>
      </c>
      <c r="I383" s="161">
        <f t="shared" si="44"/>
        <v>3.506528965581257</v>
      </c>
      <c r="J383" s="161"/>
      <c r="K383" s="163">
        <f>IF(A383&gt;$B$15,IF(I383&gt;Helper_calcs!$B$15,23,3),0)</f>
        <v>23</v>
      </c>
      <c r="L383" s="162">
        <f t="shared" si="42"/>
        <v>2</v>
      </c>
      <c r="M383" s="162">
        <f t="shared" si="45"/>
        <v>2</v>
      </c>
      <c r="N383" s="161">
        <f t="shared" si="46"/>
        <v>3.55</v>
      </c>
      <c r="O383" s="161">
        <f t="shared" si="47"/>
        <v>4.0158371040724443</v>
      </c>
      <c r="P383" s="149">
        <f>IF(OR(M383=0,M383=3),loop_gain!$B$18,IF(Current_limit!M383=1,Current_limit!$B$12/(2*(Current_limit!N383-Helper_calcs!$B$15)),IF(OR(M383=2,M383=23),(Main!$B$18-Current_limit!O383)*Current_limit!O383/(Main!$B$18*loop_gain!$B$17*(Helper_calcs!$B$14-Helper_calcs!$B$15)),x)))</f>
        <v>1156677.4026848625</v>
      </c>
      <c r="Q383" s="161"/>
    </row>
    <row r="384" spans="1:17" x14ac:dyDescent="0.25">
      <c r="A384">
        <f t="shared" si="48"/>
        <v>4.4299999999999491</v>
      </c>
      <c r="B384">
        <f>Main!$B$19/A384</f>
        <v>1.128668171557575</v>
      </c>
      <c r="D384" s="161">
        <f t="shared" si="41"/>
        <v>1.128668171557575</v>
      </c>
      <c r="E384" s="161">
        <f>-B384*Main!$B$18-2*Main!$B$18*loop_gain!$B$17*loop_gain!$B$18</f>
        <v>-179.8640180586909</v>
      </c>
      <c r="F384" s="161">
        <f>2*Main!$B$18*loop_gain!$B$17*loop_gain!$B$18*Helper_calcs!$B$14*Current_limit!B384</f>
        <v>732.10835214447786</v>
      </c>
      <c r="G384" s="161">
        <f t="shared" si="43"/>
        <v>4.1799841482956896</v>
      </c>
      <c r="H384" s="161">
        <f>(Main!$B$18-Current_limit!G384)*Current_limit!G384/(Main!$B$18*loop_gain!$B$17*loop_gain!$B$18)</f>
        <v>0.39306808922011832</v>
      </c>
      <c r="I384" s="161">
        <f t="shared" si="44"/>
        <v>3.5069319107798793</v>
      </c>
      <c r="J384" s="161"/>
      <c r="K384" s="163">
        <f>IF(A384&gt;$B$15,IF(I384&gt;Helper_calcs!$B$15,23,3),0)</f>
        <v>23</v>
      </c>
      <c r="L384" s="162">
        <f t="shared" si="42"/>
        <v>2</v>
      </c>
      <c r="M384" s="162">
        <f t="shared" si="45"/>
        <v>2</v>
      </c>
      <c r="N384" s="161">
        <f t="shared" si="46"/>
        <v>3.55</v>
      </c>
      <c r="O384" s="161">
        <f t="shared" si="47"/>
        <v>4.0067720090293912</v>
      </c>
      <c r="P384" s="149">
        <f>IF(OR(M384=0,M384=3),loop_gain!$B$18,IF(Current_limit!M384=1,Current_limit!$B$12/(2*(Current_limit!N384-Helper_calcs!$B$15)),IF(OR(M384=2,M384=23),(Main!$B$18-Current_limit!O384)*Current_limit!O384/(Main!$B$18*loop_gain!$B$17*(Helper_calcs!$B$14-Helper_calcs!$B$15)),x)))</f>
        <v>1155376.701876309</v>
      </c>
      <c r="Q384" s="161"/>
    </row>
    <row r="385" spans="1:17" x14ac:dyDescent="0.25">
      <c r="A385">
        <f t="shared" si="48"/>
        <v>4.4399999999999489</v>
      </c>
      <c r="B385">
        <f>Main!$B$19/A385</f>
        <v>1.126126126126139</v>
      </c>
      <c r="D385" s="161">
        <f t="shared" si="41"/>
        <v>1.126126126126139</v>
      </c>
      <c r="E385" s="161">
        <f>-B385*Main!$B$18-2*Main!$B$18*loop_gain!$B$17*loop_gain!$B$18</f>
        <v>-179.83351351351365</v>
      </c>
      <c r="F385" s="161">
        <f>2*Main!$B$18*loop_gain!$B$17*loop_gain!$B$18*Helper_calcs!$B$14*Current_limit!B385</f>
        <v>730.45945945946778</v>
      </c>
      <c r="G385" s="161">
        <f t="shared" si="43"/>
        <v>4.1707967737946703</v>
      </c>
      <c r="H385" s="161">
        <f>(Main!$B$18-Current_limit!G385)*Current_limit!G385/(Main!$B$18*loop_gain!$B$17*loop_gain!$B$18)</f>
        <v>0.39266492974074096</v>
      </c>
      <c r="I385" s="161">
        <f t="shared" si="44"/>
        <v>3.5073350702592543</v>
      </c>
      <c r="J385" s="161"/>
      <c r="K385" s="163">
        <f>IF(A385&gt;$B$15,IF(I385&gt;Helper_calcs!$B$15,23,3),0)</f>
        <v>23</v>
      </c>
      <c r="L385" s="162">
        <f t="shared" si="42"/>
        <v>2</v>
      </c>
      <c r="M385" s="162">
        <f t="shared" si="45"/>
        <v>2</v>
      </c>
      <c r="N385" s="161">
        <f t="shared" si="46"/>
        <v>3.55</v>
      </c>
      <c r="O385" s="161">
        <f t="shared" si="47"/>
        <v>3.9977477477477934</v>
      </c>
      <c r="P385" s="149">
        <f>IF(OR(M385=0,M385=3),loop_gain!$B$18,IF(Current_limit!M385=1,Current_limit!$B$12/(2*(Current_limit!N385-Helper_calcs!$B$15)),IF(OR(M385=2,M385=23),(Main!$B$18-Current_limit!O385)*Current_limit!O385/(Main!$B$18*loop_gain!$B$17*(Helper_calcs!$B$14-Helper_calcs!$B$15)),x)))</f>
        <v>1154075.9710804827</v>
      </c>
      <c r="Q385" s="161"/>
    </row>
    <row r="386" spans="1:17" x14ac:dyDescent="0.25">
      <c r="A386">
        <f t="shared" si="48"/>
        <v>4.4499999999999487</v>
      </c>
      <c r="B386">
        <f>Main!$B$19/A386</f>
        <v>1.1235955056179905</v>
      </c>
      <c r="D386" s="161">
        <f t="shared" si="41"/>
        <v>1.1235955056179905</v>
      </c>
      <c r="E386" s="161">
        <f>-B386*Main!$B$18-2*Main!$B$18*loop_gain!$B$17*loop_gain!$B$18</f>
        <v>-179.80314606741587</v>
      </c>
      <c r="F386" s="161">
        <f>2*Main!$B$18*loop_gain!$B$17*loop_gain!$B$18*Helper_calcs!$B$14*Current_limit!B386</f>
        <v>728.81797752809814</v>
      </c>
      <c r="G386" s="161">
        <f t="shared" si="43"/>
        <v>4.1616508029090591</v>
      </c>
      <c r="H386" s="161">
        <f>(Main!$B$18-Current_limit!G386)*Current_limit!G386/(Main!$B$18*loop_gain!$B$17*loop_gain!$B$18)</f>
        <v>0.39226157082197083</v>
      </c>
      <c r="I386" s="161">
        <f t="shared" si="44"/>
        <v>3.5077384291780347</v>
      </c>
      <c r="J386" s="161"/>
      <c r="K386" s="163">
        <f>IF(A386&gt;$B$15,IF(I386&gt;Helper_calcs!$B$15,23,3),0)</f>
        <v>23</v>
      </c>
      <c r="L386" s="162">
        <f t="shared" si="42"/>
        <v>2</v>
      </c>
      <c r="M386" s="162">
        <f t="shared" si="45"/>
        <v>2</v>
      </c>
      <c r="N386" s="161">
        <f t="shared" si="46"/>
        <v>3.55</v>
      </c>
      <c r="O386" s="161">
        <f t="shared" si="47"/>
        <v>3.9887640449438662</v>
      </c>
      <c r="P386" s="149">
        <f>IF(OR(M386=0,M386=3),loop_gain!$B$18,IF(Current_limit!M386=1,Current_limit!$B$12/(2*(Current_limit!N386-Helper_calcs!$B$15)),IF(OR(M386=2,M386=23),(Main!$B$18-Current_limit!O386)*Current_limit!O386/(Main!$B$18*loop_gain!$B$17*(Helper_calcs!$B$14-Helper_calcs!$B$15)),x)))</f>
        <v>1152775.2501114521</v>
      </c>
      <c r="Q386" s="161"/>
    </row>
    <row r="387" spans="1:17" x14ac:dyDescent="0.25">
      <c r="A387">
        <f t="shared" si="48"/>
        <v>4.4599999999999485</v>
      </c>
      <c r="B387">
        <f>Main!$B$19/A387</f>
        <v>1.1210762331838695</v>
      </c>
      <c r="D387" s="161">
        <f t="shared" si="41"/>
        <v>1.1210762331838695</v>
      </c>
      <c r="E387" s="161">
        <f>-B387*Main!$B$18-2*Main!$B$18*loop_gain!$B$17*loop_gain!$B$18</f>
        <v>-179.77291479820641</v>
      </c>
      <c r="F387" s="161">
        <f>2*Main!$B$18*loop_gain!$B$17*loop_gain!$B$18*Helper_calcs!$B$14*Current_limit!B387</f>
        <v>727.18385650225048</v>
      </c>
      <c r="G387" s="161">
        <f t="shared" si="43"/>
        <v>4.1525459489641845</v>
      </c>
      <c r="H387" s="161">
        <f>(Main!$B$18-Current_limit!G387)*Current_limit!G387/(Main!$B$18*loop_gain!$B$17*loop_gain!$B$18)</f>
        <v>0.3918580270479961</v>
      </c>
      <c r="I387" s="161">
        <f t="shared" si="44"/>
        <v>3.5081419729520116</v>
      </c>
      <c r="J387" s="161"/>
      <c r="K387" s="163">
        <f>IF(A387&gt;$B$15,IF(I387&gt;Helper_calcs!$B$15,23,3),0)</f>
        <v>23</v>
      </c>
      <c r="L387" s="162">
        <f t="shared" si="42"/>
        <v>2</v>
      </c>
      <c r="M387" s="162">
        <f t="shared" si="45"/>
        <v>2</v>
      </c>
      <c r="N387" s="161">
        <f t="shared" si="46"/>
        <v>3.55</v>
      </c>
      <c r="O387" s="161">
        <f t="shared" si="47"/>
        <v>3.9798206278027366</v>
      </c>
      <c r="P387" s="149">
        <f>IF(OR(M387=0,M387=3),loop_gain!$B$18,IF(Current_limit!M387=1,Current_limit!$B$12/(2*(Current_limit!N387-Helper_calcs!$B$15)),IF(OR(M387=2,M387=23),(Main!$B$18-Current_limit!O387)*Current_limit!O387/(Main!$B$18*loop_gain!$B$17*(Helper_calcs!$B$14-Helper_calcs!$B$15)),x)))</f>
        <v>1151474.5780717419</v>
      </c>
      <c r="Q387" s="161"/>
    </row>
    <row r="388" spans="1:17" x14ac:dyDescent="0.25">
      <c r="A388">
        <f t="shared" si="48"/>
        <v>4.4699999999999482</v>
      </c>
      <c r="B388">
        <f>Main!$B$19/A388</f>
        <v>1.1185682326622053</v>
      </c>
      <c r="D388" s="161">
        <f t="shared" si="41"/>
        <v>1.1185682326622053</v>
      </c>
      <c r="E388" s="161">
        <f>-B388*Main!$B$18-2*Main!$B$18*loop_gain!$B$17*loop_gain!$B$18</f>
        <v>-179.74281879194646</v>
      </c>
      <c r="F388" s="161">
        <f>2*Main!$B$18*loop_gain!$B$17*loop_gain!$B$18*Helper_calcs!$B$14*Current_limit!B388</f>
        <v>725.55704697987403</v>
      </c>
      <c r="G388" s="161">
        <f t="shared" si="43"/>
        <v>4.1434819279921022</v>
      </c>
      <c r="H388" s="161">
        <f>(Main!$B$18-Current_limit!G388)*Current_limit!G388/(Main!$B$18*loop_gain!$B$17*loop_gain!$B$18)</f>
        <v>0.39145431275021741</v>
      </c>
      <c r="I388" s="161">
        <f t="shared" si="44"/>
        <v>3.508545687249788</v>
      </c>
      <c r="J388" s="161"/>
      <c r="K388" s="163">
        <f>IF(A388&gt;$B$15,IF(I388&gt;Helper_calcs!$B$15,23,3),0)</f>
        <v>23</v>
      </c>
      <c r="L388" s="162">
        <f t="shared" si="42"/>
        <v>2</v>
      </c>
      <c r="M388" s="162">
        <f t="shared" si="45"/>
        <v>2</v>
      </c>
      <c r="N388" s="161">
        <f t="shared" si="46"/>
        <v>3.55</v>
      </c>
      <c r="O388" s="161">
        <f t="shared" si="47"/>
        <v>3.9709172259508287</v>
      </c>
      <c r="P388" s="149">
        <f>IF(OR(M388=0,M388=3),loop_gain!$B$18,IF(Current_limit!M388=1,Current_limit!$B$12/(2*(Current_limit!N388-Helper_calcs!$B$15)),IF(OR(M388=2,M388=23),(Main!$B$18-Current_limit!O388)*Current_limit!O388/(Main!$B$18*loop_gain!$B$17*(Helper_calcs!$B$14-Helper_calcs!$B$15)),x)))</f>
        <v>1150173.9933642475</v>
      </c>
      <c r="Q388" s="161"/>
    </row>
    <row r="389" spans="1:17" x14ac:dyDescent="0.25">
      <c r="A389">
        <f t="shared" si="48"/>
        <v>4.479999999999948</v>
      </c>
      <c r="B389">
        <f>Main!$B$19/A389</f>
        <v>1.1160714285714415</v>
      </c>
      <c r="D389" s="161">
        <f t="shared" si="41"/>
        <v>1.1160714285714415</v>
      </c>
      <c r="E389" s="161">
        <f>-B389*Main!$B$18-2*Main!$B$18*loop_gain!$B$17*loop_gain!$B$18</f>
        <v>-179.7128571428573</v>
      </c>
      <c r="F389" s="161">
        <f>2*Main!$B$18*loop_gain!$B$17*loop_gain!$B$18*Helper_calcs!$B$14*Current_limit!B389</f>
        <v>723.9375000000083</v>
      </c>
      <c r="G389" s="161">
        <f t="shared" si="43"/>
        <v>4.1344584586989601</v>
      </c>
      <c r="H389" s="161">
        <f>(Main!$B$18-Current_limit!G389)*Current_limit!G389/(Main!$B$18*loop_gain!$B$17*loop_gain!$B$18)</f>
        <v>0.39105044201154571</v>
      </c>
      <c r="I389" s="161">
        <f t="shared" si="44"/>
        <v>3.5089495579884526</v>
      </c>
      <c r="J389" s="161"/>
      <c r="K389" s="163">
        <f>IF(A389&gt;$B$15,IF(I389&gt;Helper_calcs!$B$15,23,3),0)</f>
        <v>23</v>
      </c>
      <c r="L389" s="162">
        <f t="shared" si="42"/>
        <v>2</v>
      </c>
      <c r="M389" s="162">
        <f t="shared" si="45"/>
        <v>2</v>
      </c>
      <c r="N389" s="161">
        <f t="shared" si="46"/>
        <v>3.55</v>
      </c>
      <c r="O389" s="161">
        <f t="shared" si="47"/>
        <v>3.9620535714286169</v>
      </c>
      <c r="P389" s="149">
        <f>IF(OR(M389=0,M389=3),loop_gain!$B$18,IF(Current_limit!M389=1,Current_limit!$B$12/(2*(Current_limit!N389-Helper_calcs!$B$15)),IF(OR(M389=2,M389=23),(Main!$B$18-Current_limit!O389)*Current_limit!O389/(Main!$B$18*loop_gain!$B$17*(Helper_calcs!$B$14-Helper_calcs!$B$15)),x)))</f>
        <v>1148873.5337039379</v>
      </c>
      <c r="Q389" s="161"/>
    </row>
    <row r="390" spans="1:17" x14ac:dyDescent="0.25">
      <c r="A390">
        <f t="shared" si="48"/>
        <v>4.4899999999999478</v>
      </c>
      <c r="B390">
        <f>Main!$B$19/A390</f>
        <v>1.1135857461024627</v>
      </c>
      <c r="D390" s="161">
        <f t="shared" si="41"/>
        <v>1.1135857461024627</v>
      </c>
      <c r="E390" s="161">
        <f>-B390*Main!$B$18-2*Main!$B$18*loop_gain!$B$17*loop_gain!$B$18</f>
        <v>-179.68302895322955</v>
      </c>
      <c r="F390" s="161">
        <f>2*Main!$B$18*loop_gain!$B$17*loop_gain!$B$18*Helper_calcs!$B$14*Current_limit!B390</f>
        <v>722.32516703787019</v>
      </c>
      <c r="G390" s="161">
        <f t="shared" si="43"/>
        <v>4.1254752624328903</v>
      </c>
      <c r="H390" s="161">
        <f>(Main!$B$18-Current_limit!G390)*Current_limit!G390/(Main!$B$18*loop_gain!$B$17*loop_gain!$B$18)</f>
        <v>0.39064642867062244</v>
      </c>
      <c r="I390" s="161">
        <f t="shared" si="44"/>
        <v>3.5093535713293815</v>
      </c>
      <c r="J390" s="161"/>
      <c r="K390" s="163">
        <f>IF(A390&gt;$B$15,IF(I390&gt;Helper_calcs!$B$15,23,3),0)</f>
        <v>23</v>
      </c>
      <c r="L390" s="162">
        <f t="shared" si="42"/>
        <v>2</v>
      </c>
      <c r="M390" s="162">
        <f t="shared" si="45"/>
        <v>2</v>
      </c>
      <c r="N390" s="161">
        <f t="shared" si="46"/>
        <v>3.55</v>
      </c>
      <c r="O390" s="161">
        <f t="shared" si="47"/>
        <v>3.9532293986637423</v>
      </c>
      <c r="P390" s="149">
        <f>IF(OR(M390=0,M390=3),loop_gain!$B$18,IF(Current_limit!M390=1,Current_limit!$B$12/(2*(Current_limit!N390-Helper_calcs!$B$15)),IF(OR(M390=2,M390=23),(Main!$B$18-Current_limit!O390)*Current_limit!O390/(Main!$B$18*loop_gain!$B$17*(Helper_calcs!$B$14-Helper_calcs!$B$15)),x)))</f>
        <v>1147573.2361293517</v>
      </c>
      <c r="Q390" s="161"/>
    </row>
    <row r="391" spans="1:17" x14ac:dyDescent="0.25">
      <c r="A391">
        <f t="shared" si="48"/>
        <v>4.4999999999999476</v>
      </c>
      <c r="B391">
        <f>Main!$B$19/A391</f>
        <v>1.111111111111124</v>
      </c>
      <c r="D391" s="161">
        <f t="shared" si="41"/>
        <v>1.111111111111124</v>
      </c>
      <c r="E391" s="161">
        <f>-B391*Main!$B$18-2*Main!$B$18*loop_gain!$B$17*loop_gain!$B$18</f>
        <v>-179.65333333333348</v>
      </c>
      <c r="F391" s="161">
        <f>2*Main!$B$18*loop_gain!$B$17*loop_gain!$B$18*Helper_calcs!$B$14*Current_limit!B391</f>
        <v>720.72000000000833</v>
      </c>
      <c r="G391" s="161">
        <f t="shared" si="43"/>
        <v>4.116532063152289</v>
      </c>
      <c r="H391" s="161">
        <f>(Main!$B$18-Current_limit!G391)*Current_limit!G391/(Main!$B$18*loop_gain!$B$17*loop_gain!$B$18)</f>
        <v>0.39024228632595753</v>
      </c>
      <c r="I391" s="161">
        <f t="shared" si="44"/>
        <v>3.5097577136740385</v>
      </c>
      <c r="J391" s="161"/>
      <c r="K391" s="163">
        <f>IF(A391&gt;$B$15,IF(I391&gt;Helper_calcs!$B$15,23,3),0)</f>
        <v>23</v>
      </c>
      <c r="L391" s="162">
        <f t="shared" si="42"/>
        <v>2</v>
      </c>
      <c r="M391" s="162">
        <f t="shared" si="45"/>
        <v>2</v>
      </c>
      <c r="N391" s="161">
        <f t="shared" si="46"/>
        <v>3.55</v>
      </c>
      <c r="O391" s="161">
        <f t="shared" si="47"/>
        <v>3.9444444444444899</v>
      </c>
      <c r="P391" s="149">
        <f>IF(OR(M391=0,M391=3),loop_gain!$B$18,IF(Current_limit!M391=1,Current_limit!$B$12/(2*(Current_limit!N391-Helper_calcs!$B$15)),IF(OR(M391=2,M391=23),(Main!$B$18-Current_limit!O391)*Current_limit!O391/(Main!$B$18*loop_gain!$B$17*(Helper_calcs!$B$14-Helper_calcs!$B$15)),x)))</f>
        <v>1146273.1370138852</v>
      </c>
      <c r="Q391" s="161"/>
    </row>
    <row r="392" spans="1:17" x14ac:dyDescent="0.25">
      <c r="A392">
        <f t="shared" si="48"/>
        <v>4.5099999999999474</v>
      </c>
      <c r="B392">
        <f>Main!$B$19/A392</f>
        <v>1.1086474501108776</v>
      </c>
      <c r="D392" s="161">
        <f t="shared" si="41"/>
        <v>1.1086474501108776</v>
      </c>
      <c r="E392" s="161">
        <f>-B392*Main!$B$18-2*Main!$B$18*loop_gain!$B$17*loop_gain!$B$18</f>
        <v>-179.62376940133052</v>
      </c>
      <c r="F392" s="161">
        <f>2*Main!$B$18*loop_gain!$B$17*loop_gain!$B$18*Helper_calcs!$B$14*Current_limit!B392</f>
        <v>719.1219512195205</v>
      </c>
      <c r="G392" s="161">
        <f t="shared" si="43"/>
        <v>4.1076285873947214</v>
      </c>
      <c r="H392" s="161">
        <f>(Main!$B$18-Current_limit!G392)*Current_limit!G392/(Main!$B$18*loop_gain!$B$17*loop_gain!$B$18)</f>
        <v>0.38983802833999881</v>
      </c>
      <c r="I392" s="161">
        <f t="shared" si="44"/>
        <v>3.5101619716599961</v>
      </c>
      <c r="J392" s="161"/>
      <c r="K392" s="163">
        <f>IF(A392&gt;$B$15,IF(I392&gt;Helper_calcs!$B$15,23,3),0)</f>
        <v>23</v>
      </c>
      <c r="L392" s="162">
        <f t="shared" si="42"/>
        <v>2</v>
      </c>
      <c r="M392" s="162">
        <f t="shared" si="45"/>
        <v>2</v>
      </c>
      <c r="N392" s="161">
        <f t="shared" si="46"/>
        <v>3.55</v>
      </c>
      <c r="O392" s="161">
        <f t="shared" si="47"/>
        <v>3.9356984478936154</v>
      </c>
      <c r="P392" s="149">
        <f>IF(OR(M392=0,M392=3),loop_gain!$B$18,IF(Current_limit!M392=1,Current_limit!$B$12/(2*(Current_limit!N392-Helper_calcs!$B$15)),IF(OR(M392=2,M392=23),(Main!$B$18-Current_limit!O392)*Current_limit!O392/(Main!$B$18*loop_gain!$B$17*(Helper_calcs!$B$14-Helper_calcs!$B$15)),x)))</f>
        <v>1144973.2720768824</v>
      </c>
      <c r="Q392" s="161"/>
    </row>
    <row r="393" spans="1:17" x14ac:dyDescent="0.25">
      <c r="A393">
        <f t="shared" si="48"/>
        <v>4.5199999999999472</v>
      </c>
      <c r="B393">
        <f>Main!$B$19/A393</f>
        <v>1.1061946902654995</v>
      </c>
      <c r="D393" s="161">
        <f t="shared" si="41"/>
        <v>1.1061946902654995</v>
      </c>
      <c r="E393" s="161">
        <f>-B393*Main!$B$18-2*Main!$B$18*loop_gain!$B$17*loop_gain!$B$18</f>
        <v>-179.59433628318598</v>
      </c>
      <c r="F393" s="161">
        <f>2*Main!$B$18*loop_gain!$B$17*loop_gain!$B$18*Helper_calcs!$B$14*Current_limit!B393</f>
        <v>717.53097345133563</v>
      </c>
      <c r="G393" s="161">
        <f t="shared" si="43"/>
        <v>4.0987645642461077</v>
      </c>
      <c r="H393" s="161">
        <f>(Main!$B$18-Current_limit!G393)*Current_limit!G393/(Main!$B$18*loop_gain!$B$17*loop_gain!$B$18)</f>
        <v>0.38943366784311823</v>
      </c>
      <c r="I393" s="161">
        <f t="shared" si="44"/>
        <v>3.5105663321568792</v>
      </c>
      <c r="J393" s="161"/>
      <c r="K393" s="163">
        <f>IF(A393&gt;$B$15,IF(I393&gt;Helper_calcs!$B$15,23,3),0)</f>
        <v>23</v>
      </c>
      <c r="L393" s="162">
        <f t="shared" si="42"/>
        <v>2</v>
      </c>
      <c r="M393" s="162">
        <f t="shared" si="45"/>
        <v>2</v>
      </c>
      <c r="N393" s="161">
        <f t="shared" si="46"/>
        <v>3.55</v>
      </c>
      <c r="O393" s="161">
        <f t="shared" si="47"/>
        <v>3.926991150442523</v>
      </c>
      <c r="P393" s="149">
        <f>IF(OR(M393=0,M393=3),loop_gain!$B$18,IF(Current_limit!M393=1,Current_limit!$B$12/(2*(Current_limit!N393-Helper_calcs!$B$15)),IF(OR(M393=2,M393=23),(Main!$B$18-Current_limit!O393)*Current_limit!O393/(Main!$B$18*loop_gain!$B$17*(Helper_calcs!$B$14-Helper_calcs!$B$15)),x)))</f>
        <v>1143673.676394531</v>
      </c>
      <c r="Q393" s="161"/>
    </row>
    <row r="394" spans="1:17" x14ac:dyDescent="0.25">
      <c r="A394">
        <f t="shared" si="48"/>
        <v>4.529999999999947</v>
      </c>
      <c r="B394">
        <f>Main!$B$19/A394</f>
        <v>1.1037527593819114</v>
      </c>
      <c r="D394" s="161">
        <f t="shared" si="41"/>
        <v>1.1037527593819114</v>
      </c>
      <c r="E394" s="161">
        <f>-B394*Main!$B$18-2*Main!$B$18*loop_gain!$B$17*loop_gain!$B$18</f>
        <v>-179.56503311258294</v>
      </c>
      <c r="F394" s="161">
        <f>2*Main!$B$18*loop_gain!$B$17*loop_gain!$B$18*Helper_calcs!$B$14*Current_limit!B394</f>
        <v>715.94701986755797</v>
      </c>
      <c r="G394" s="161">
        <f t="shared" si="43"/>
        <v>4.0899397253104661</v>
      </c>
      <c r="H394" s="161">
        <f>(Main!$B$18-Current_limit!G394)*Current_limit!G394/(Main!$B$18*loop_gain!$B$17*loop_gain!$B$18)</f>
        <v>0.38902921773752941</v>
      </c>
      <c r="I394" s="161">
        <f t="shared" si="44"/>
        <v>3.5109707822624743</v>
      </c>
      <c r="J394" s="161"/>
      <c r="K394" s="163">
        <f>IF(A394&gt;$B$15,IF(I394&gt;Helper_calcs!$B$15,23,3),0)</f>
        <v>23</v>
      </c>
      <c r="L394" s="162">
        <f t="shared" si="42"/>
        <v>2</v>
      </c>
      <c r="M394" s="162">
        <f t="shared" si="45"/>
        <v>2</v>
      </c>
      <c r="N394" s="161">
        <f t="shared" si="46"/>
        <v>3.55</v>
      </c>
      <c r="O394" s="161">
        <f t="shared" si="47"/>
        <v>3.9183222958057855</v>
      </c>
      <c r="P394" s="149">
        <f>IF(OR(M394=0,M394=3),loop_gain!$B$18,IF(Current_limit!M394=1,Current_limit!$B$12/(2*(Current_limit!N394-Helper_calcs!$B$15)),IF(OR(M394=2,M394=23),(Main!$B$18-Current_limit!O394)*Current_limit!O394/(Main!$B$18*loop_gain!$B$17*(Helper_calcs!$B$14-Helper_calcs!$B$15)),x)))</f>
        <v>1142374.3844105599</v>
      </c>
      <c r="Q394" s="161"/>
    </row>
    <row r="395" spans="1:17" x14ac:dyDescent="0.25">
      <c r="A395">
        <f t="shared" si="48"/>
        <v>4.5399999999999467</v>
      </c>
      <c r="B395">
        <f>Main!$B$19/A395</f>
        <v>1.1013215859030967</v>
      </c>
      <c r="D395" s="161">
        <f t="shared" si="41"/>
        <v>1.1013215859030967</v>
      </c>
      <c r="E395" s="161">
        <f>-B395*Main!$B$18-2*Main!$B$18*loop_gain!$B$17*loop_gain!$B$18</f>
        <v>-179.53585903083714</v>
      </c>
      <c r="F395" s="161">
        <f>2*Main!$B$18*loop_gain!$B$17*loop_gain!$B$18*Helper_calcs!$B$14*Current_limit!B395</f>
        <v>714.37004405287178</v>
      </c>
      <c r="G395" s="161">
        <f t="shared" si="43"/>
        <v>4.081153804680036</v>
      </c>
      <c r="H395" s="161">
        <f>(Main!$B$18-Current_limit!G395)*Current_limit!G395/(Main!$B$18*loop_gain!$B$17*loop_gain!$B$18)</f>
        <v>0.38862469070113154</v>
      </c>
      <c r="I395" s="161">
        <f t="shared" si="44"/>
        <v>3.5113753092988631</v>
      </c>
      <c r="J395" s="161"/>
      <c r="K395" s="163">
        <f>IF(A395&gt;$B$15,IF(I395&gt;Helper_calcs!$B$15,23,3),0)</f>
        <v>23</v>
      </c>
      <c r="L395" s="162">
        <f t="shared" si="42"/>
        <v>2</v>
      </c>
      <c r="M395" s="162">
        <f t="shared" si="45"/>
        <v>2</v>
      </c>
      <c r="N395" s="161">
        <f t="shared" si="46"/>
        <v>3.55</v>
      </c>
      <c r="O395" s="161">
        <f t="shared" si="47"/>
        <v>3.9096916299559932</v>
      </c>
      <c r="P395" s="149">
        <f>IF(OR(M395=0,M395=3),loop_gain!$B$18,IF(Current_limit!M395=1,Current_limit!$B$12/(2*(Current_limit!N395-Helper_calcs!$B$15)),IF(OR(M395=2,M395=23),(Main!$B$18-Current_limit!O395)*Current_limit!O395/(Main!$B$18*loop_gain!$B$17*(Helper_calcs!$B$14-Helper_calcs!$B$15)),x)))</f>
        <v>1141075.4299467525</v>
      </c>
      <c r="Q395" s="161"/>
    </row>
    <row r="396" spans="1:17" x14ac:dyDescent="0.25">
      <c r="A396">
        <f t="shared" si="48"/>
        <v>4.5499999999999465</v>
      </c>
      <c r="B396">
        <f>Main!$B$19/A396</f>
        <v>1.0989010989011119</v>
      </c>
      <c r="D396" s="161">
        <f t="shared" si="41"/>
        <v>1.0989010989011119</v>
      </c>
      <c r="E396" s="161">
        <f>-B396*Main!$B$18-2*Main!$B$18*loop_gain!$B$17*loop_gain!$B$18</f>
        <v>-179.50681318681333</v>
      </c>
      <c r="F396" s="161">
        <f>2*Main!$B$18*loop_gain!$B$17*loop_gain!$B$18*Helper_calcs!$B$14*Current_limit!B396</f>
        <v>712.80000000000837</v>
      </c>
      <c r="G396" s="161">
        <f t="shared" si="43"/>
        <v>4.0724065389059314</v>
      </c>
      <c r="H396" s="161">
        <f>(Main!$B$18-Current_limit!G396)*Current_limit!G396/(Main!$B$18*loop_gain!$B$17*loop_gain!$B$18)</f>
        <v>0.38822009919128658</v>
      </c>
      <c r="I396" s="161">
        <f t="shared" si="44"/>
        <v>3.5117799008087105</v>
      </c>
      <c r="J396" s="161"/>
      <c r="K396" s="163">
        <f>IF(A396&gt;$B$15,IF(I396&gt;Helper_calcs!$B$15,23,3),0)</f>
        <v>23</v>
      </c>
      <c r="L396" s="162">
        <f t="shared" si="42"/>
        <v>2</v>
      </c>
      <c r="M396" s="162">
        <f t="shared" si="45"/>
        <v>2</v>
      </c>
      <c r="N396" s="161">
        <f t="shared" si="46"/>
        <v>3.55</v>
      </c>
      <c r="O396" s="161">
        <f t="shared" si="47"/>
        <v>3.9010989010989467</v>
      </c>
      <c r="P396" s="149">
        <f>IF(OR(M396=0,M396=3),loop_gain!$B$18,IF(Current_limit!M396=1,Current_limit!$B$12/(2*(Current_limit!N396-Helper_calcs!$B$15)),IF(OR(M396=2,M396=23),(Main!$B$18-Current_limit!O396)*Current_limit!O396/(Main!$B$18*loop_gain!$B$17*(Helper_calcs!$B$14-Helper_calcs!$B$15)),x)))</f>
        <v>1139776.8462132742</v>
      </c>
      <c r="Q396" s="161"/>
    </row>
    <row r="397" spans="1:17" x14ac:dyDescent="0.25">
      <c r="A397">
        <f t="shared" si="48"/>
        <v>4.5599999999999463</v>
      </c>
      <c r="B397">
        <f>Main!$B$19/A397</f>
        <v>1.0964912280701884</v>
      </c>
      <c r="D397" s="161">
        <f t="shared" si="41"/>
        <v>1.0964912280701884</v>
      </c>
      <c r="E397" s="161">
        <f>-B397*Main!$B$18-2*Main!$B$18*loop_gain!$B$17*loop_gain!$B$18</f>
        <v>-179.47789473684225</v>
      </c>
      <c r="F397" s="161">
        <f>2*Main!$B$18*loop_gain!$B$17*loop_gain!$B$18*Helper_calcs!$B$14*Current_limit!B397</f>
        <v>711.23684210527142</v>
      </c>
      <c r="G397" s="161">
        <f t="shared" si="43"/>
        <v>4.063697666969059</v>
      </c>
      <c r="H397" s="161">
        <f>(Main!$B$18-Current_limit!G397)*Current_limit!G397/(Main!$B$18*loop_gain!$B$17*loop_gain!$B$18)</f>
        <v>0.3878154554485202</v>
      </c>
      <c r="I397" s="161">
        <f t="shared" si="44"/>
        <v>3.5121845445514777</v>
      </c>
      <c r="J397" s="161"/>
      <c r="K397" s="163">
        <f>IF(A397&gt;$B$15,IF(I397&gt;Helper_calcs!$B$15,23,3),0)</f>
        <v>23</v>
      </c>
      <c r="L397" s="162">
        <f t="shared" si="42"/>
        <v>2</v>
      </c>
      <c r="M397" s="162">
        <f t="shared" si="45"/>
        <v>2</v>
      </c>
      <c r="N397" s="161">
        <f t="shared" si="46"/>
        <v>3.55</v>
      </c>
      <c r="O397" s="161">
        <f t="shared" si="47"/>
        <v>3.8925438596491686</v>
      </c>
      <c r="P397" s="149">
        <f>IF(OR(M397=0,M397=3),loop_gain!$B$18,IF(Current_limit!M397=1,Current_limit!$B$12/(2*(Current_limit!N397-Helper_calcs!$B$15)),IF(OR(M397=2,M397=23),(Main!$B$18-Current_limit!O397)*Current_limit!O397/(Main!$B$18*loop_gain!$B$17*(Helper_calcs!$B$14-Helper_calcs!$B$15)),x)))</f>
        <v>1138478.6658188163</v>
      </c>
      <c r="Q397" s="161"/>
    </row>
    <row r="398" spans="1:17" x14ac:dyDescent="0.25">
      <c r="A398">
        <f t="shared" si="48"/>
        <v>4.5699999999999461</v>
      </c>
      <c r="B398">
        <f>Main!$B$19/A398</f>
        <v>1.0940919037199255</v>
      </c>
      <c r="D398" s="161">
        <f t="shared" si="41"/>
        <v>1.0940919037199255</v>
      </c>
      <c r="E398" s="161">
        <f>-B398*Main!$B$18-2*Main!$B$18*loop_gain!$B$17*loop_gain!$B$18</f>
        <v>-179.4491028446391</v>
      </c>
      <c r="F398" s="161">
        <f>2*Main!$B$18*loop_gain!$B$17*loop_gain!$B$18*Helper_calcs!$B$14*Current_limit!B398</f>
        <v>709.68052516412217</v>
      </c>
      <c r="G398" s="161">
        <f t="shared" si="43"/>
        <v>4.0550269302516</v>
      </c>
      <c r="H398" s="161">
        <f>(Main!$B$18-Current_limit!G398)*Current_limit!G398/(Main!$B$18*loop_gain!$B$17*loop_gain!$B$18)</f>
        <v>0.38741077150016218</v>
      </c>
      <c r="I398" s="161">
        <f t="shared" si="44"/>
        <v>3.512589228499837</v>
      </c>
      <c r="J398" s="161"/>
      <c r="K398" s="163">
        <f>IF(A398&gt;$B$15,IF(I398&gt;Helper_calcs!$B$15,23,3),0)</f>
        <v>23</v>
      </c>
      <c r="L398" s="162">
        <f t="shared" si="42"/>
        <v>2</v>
      </c>
      <c r="M398" s="162">
        <f t="shared" si="45"/>
        <v>2</v>
      </c>
      <c r="N398" s="161">
        <f t="shared" si="46"/>
        <v>3.55</v>
      </c>
      <c r="O398" s="161">
        <f t="shared" si="47"/>
        <v>3.8840262582057354</v>
      </c>
      <c r="P398" s="149">
        <f>IF(OR(M398=0,M398=3),loop_gain!$B$18,IF(Current_limit!M398=1,Current_limit!$B$12/(2*(Current_limit!N398-Helper_calcs!$B$15)),IF(OR(M398=2,M398=23),(Main!$B$18-Current_limit!O398)*Current_limit!O398/(Main!$B$18*loop_gain!$B$17*(Helper_calcs!$B$14-Helper_calcs!$B$15)),x)))</f>
        <v>1137180.9207805623</v>
      </c>
      <c r="Q398" s="161"/>
    </row>
    <row r="399" spans="1:17" x14ac:dyDescent="0.25">
      <c r="A399">
        <f t="shared" si="48"/>
        <v>4.5799999999999459</v>
      </c>
      <c r="B399">
        <f>Main!$B$19/A399</f>
        <v>1.0917030567685719</v>
      </c>
      <c r="D399" s="161">
        <f t="shared" si="41"/>
        <v>1.0917030567685719</v>
      </c>
      <c r="E399" s="161">
        <f>-B399*Main!$B$18-2*Main!$B$18*loop_gain!$B$17*loop_gain!$B$18</f>
        <v>-179.42043668122287</v>
      </c>
      <c r="F399" s="161">
        <f>2*Main!$B$18*loop_gain!$B$17*loop_gain!$B$18*Helper_calcs!$B$14*Current_limit!B399</f>
        <v>708.13100436682055</v>
      </c>
      <c r="G399" s="161">
        <f t="shared" si="43"/>
        <v>4.0463940725088303</v>
      </c>
      <c r="H399" s="161">
        <f>(Main!$B$18-Current_limit!G399)*Current_limit!G399/(Main!$B$18*loop_gain!$B$17*loop_gain!$B$18)</f>
        <v>0.38700605916391734</v>
      </c>
      <c r="I399" s="161">
        <f t="shared" si="44"/>
        <v>3.5129939408360857</v>
      </c>
      <c r="J399" s="161"/>
      <c r="K399" s="163">
        <f>IF(A399&gt;$B$15,IF(I399&gt;Helper_calcs!$B$15,23,3),0)</f>
        <v>23</v>
      </c>
      <c r="L399" s="162">
        <f t="shared" si="42"/>
        <v>2</v>
      </c>
      <c r="M399" s="162">
        <f t="shared" si="45"/>
        <v>2</v>
      </c>
      <c r="N399" s="161">
        <f t="shared" si="46"/>
        <v>3.55</v>
      </c>
      <c r="O399" s="161">
        <f t="shared" si="47"/>
        <v>3.8755458515284302</v>
      </c>
      <c r="P399" s="149">
        <f>IF(OR(M399=0,M399=3),loop_gain!$B$18,IF(Current_limit!M399=1,Current_limit!$B$12/(2*(Current_limit!N399-Helper_calcs!$B$15)),IF(OR(M399=2,M399=23),(Main!$B$18-Current_limit!O399)*Current_limit!O399/(Main!$B$18*loop_gain!$B$17*(Helper_calcs!$B$14-Helper_calcs!$B$15)),x)))</f>
        <v>1135883.6425339808</v>
      </c>
      <c r="Q399" s="161"/>
    </row>
    <row r="400" spans="1:17" x14ac:dyDescent="0.25">
      <c r="A400">
        <f t="shared" si="48"/>
        <v>4.5899999999999457</v>
      </c>
      <c r="B400">
        <f>Main!$B$19/A400</f>
        <v>1.0893246187363963</v>
      </c>
      <c r="D400" s="161">
        <f t="shared" si="41"/>
        <v>1.0893246187363963</v>
      </c>
      <c r="E400" s="161">
        <f>-B400*Main!$B$18-2*Main!$B$18*loop_gain!$B$17*loop_gain!$B$18</f>
        <v>-179.39189542483675</v>
      </c>
      <c r="F400" s="161">
        <f>2*Main!$B$18*loop_gain!$B$17*loop_gain!$B$18*Helper_calcs!$B$14*Current_limit!B400</f>
        <v>706.58823529412587</v>
      </c>
      <c r="G400" s="161">
        <f t="shared" si="43"/>
        <v>4.0377988398413427</v>
      </c>
      <c r="H400" s="161">
        <f>(Main!$B$18-Current_limit!G400)*Current_limit!G400/(Main!$B$18*loop_gain!$B$17*loop_gain!$B$18)</f>
        <v>0.38660133005137109</v>
      </c>
      <c r="I400" s="161">
        <f t="shared" si="44"/>
        <v>3.5133986699486233</v>
      </c>
      <c r="J400" s="161"/>
      <c r="K400" s="163">
        <f>IF(A400&gt;$B$15,IF(I400&gt;Helper_calcs!$B$15,23,3),0)</f>
        <v>23</v>
      </c>
      <c r="L400" s="162">
        <f t="shared" si="42"/>
        <v>2</v>
      </c>
      <c r="M400" s="162">
        <f t="shared" si="45"/>
        <v>2</v>
      </c>
      <c r="N400" s="161">
        <f t="shared" si="46"/>
        <v>3.55</v>
      </c>
      <c r="O400" s="161">
        <f t="shared" si="47"/>
        <v>3.8671023965142068</v>
      </c>
      <c r="P400" s="149">
        <f>IF(OR(M400=0,M400=3),loop_gain!$B$18,IF(Current_limit!M400=1,Current_limit!$B$12/(2*(Current_limit!N400-Helper_calcs!$B$15)),IF(OR(M400=2,M400=23),(Main!$B$18-Current_limit!O400)*Current_limit!O400/(Main!$B$18*loop_gain!$B$17*(Helper_calcs!$B$14-Helper_calcs!$B$15)),x)))</f>
        <v>1134586.8619424449</v>
      </c>
      <c r="Q400" s="161"/>
    </row>
    <row r="401" spans="1:17" x14ac:dyDescent="0.25">
      <c r="A401">
        <f t="shared" si="48"/>
        <v>4.5999999999999455</v>
      </c>
      <c r="B401">
        <f>Main!$B$19/A401</f>
        <v>1.0869565217391433</v>
      </c>
      <c r="D401" s="161">
        <f t="shared" si="41"/>
        <v>1.0869565217391433</v>
      </c>
      <c r="E401" s="161">
        <f>-B401*Main!$B$18-2*Main!$B$18*loop_gain!$B$17*loop_gain!$B$18</f>
        <v>-179.36347826086973</v>
      </c>
      <c r="F401" s="161">
        <f>2*Main!$B$18*loop_gain!$B$17*loop_gain!$B$18*Helper_calcs!$B$14*Current_limit!B401</f>
        <v>705.05217391305166</v>
      </c>
      <c r="G401" s="161">
        <f t="shared" si="43"/>
        <v>4.0292409806677503</v>
      </c>
      <c r="H401" s="161">
        <f>(Main!$B$18-Current_limit!G401)*Current_limit!G401/(Main!$B$18*loop_gain!$B$17*loop_gain!$B$18)</f>
        <v>0.38619659557143571</v>
      </c>
      <c r="I401" s="161">
        <f t="shared" si="44"/>
        <v>3.5138034044285686</v>
      </c>
      <c r="J401" s="161"/>
      <c r="K401" s="163">
        <f>IF(A401&gt;$B$15,IF(I401&gt;Helper_calcs!$B$15,23,3),0)</f>
        <v>23</v>
      </c>
      <c r="L401" s="162">
        <f t="shared" si="42"/>
        <v>2</v>
      </c>
      <c r="M401" s="162">
        <f t="shared" si="45"/>
        <v>2</v>
      </c>
      <c r="N401" s="161">
        <f t="shared" si="46"/>
        <v>3.55</v>
      </c>
      <c r="O401" s="161">
        <f t="shared" si="47"/>
        <v>3.8586956521739584</v>
      </c>
      <c r="P401" s="149">
        <f>IF(OR(M401=0,M401=3),loop_gain!$B$18,IF(Current_limit!M401=1,Current_limit!$B$12/(2*(Current_limit!N401-Helper_calcs!$B$15)),IF(OR(M401=2,M401=23),(Main!$B$18-Current_limit!O401)*Current_limit!O401/(Main!$B$18*loop_gain!$B$17*(Helper_calcs!$B$14-Helper_calcs!$B$15)),x)))</f>
        <v>1133290.6093066847</v>
      </c>
      <c r="Q401" s="161"/>
    </row>
    <row r="402" spans="1:17" x14ac:dyDescent="0.25">
      <c r="A402">
        <f t="shared" si="48"/>
        <v>4.6099999999999453</v>
      </c>
      <c r="B402">
        <f>Main!$B$19/A402</f>
        <v>1.0845986984815748</v>
      </c>
      <c r="D402" s="161">
        <f t="shared" si="41"/>
        <v>1.0845986984815748</v>
      </c>
      <c r="E402" s="161">
        <f>-B402*Main!$B$18-2*Main!$B$18*loop_gain!$B$17*loop_gain!$B$18</f>
        <v>-179.3351843817789</v>
      </c>
      <c r="F402" s="161">
        <f>2*Main!$B$18*loop_gain!$B$17*loop_gain!$B$18*Helper_calcs!$B$14*Current_limit!B402</f>
        <v>703.52277657267643</v>
      </c>
      <c r="G402" s="161">
        <f t="shared" si="43"/>
        <v>4.0207202456976034</v>
      </c>
      <c r="H402" s="161">
        <f>(Main!$B$18-Current_limit!G402)*Current_limit!G402/(Main!$B$18*loop_gain!$B$17*loop_gain!$B$18)</f>
        <v>0.38579186693372591</v>
      </c>
      <c r="I402" s="161">
        <f t="shared" si="44"/>
        <v>3.5142081330662833</v>
      </c>
      <c r="J402" s="161"/>
      <c r="K402" s="163">
        <f>IF(A402&gt;$B$15,IF(I402&gt;Helper_calcs!$B$15,23,3),0)</f>
        <v>23</v>
      </c>
      <c r="L402" s="162">
        <f t="shared" si="42"/>
        <v>2</v>
      </c>
      <c r="M402" s="162">
        <f t="shared" si="45"/>
        <v>2</v>
      </c>
      <c r="N402" s="161">
        <f t="shared" si="46"/>
        <v>3.55</v>
      </c>
      <c r="O402" s="161">
        <f t="shared" si="47"/>
        <v>3.8503253796095902</v>
      </c>
      <c r="P402" s="149">
        <f>IF(OR(M402=0,M402=3),loop_gain!$B$18,IF(Current_limit!M402=1,Current_limit!$B$12/(2*(Current_limit!N402-Helper_calcs!$B$15)),IF(OR(M402=2,M402=23),(Main!$B$18-Current_limit!O402)*Current_limit!O402/(Main!$B$18*loop_gain!$B$17*(Helper_calcs!$B$14-Helper_calcs!$B$15)),x)))</f>
        <v>1131994.9143740751</v>
      </c>
      <c r="Q402" s="161"/>
    </row>
    <row r="403" spans="1:17" x14ac:dyDescent="0.25">
      <c r="A403">
        <f t="shared" si="48"/>
        <v>4.619999999999945</v>
      </c>
      <c r="B403">
        <f>Main!$B$19/A403</f>
        <v>1.0822510822510951</v>
      </c>
      <c r="D403" s="161">
        <f t="shared" si="41"/>
        <v>1.0822510822510951</v>
      </c>
      <c r="E403" s="161">
        <f>-B403*Main!$B$18-2*Main!$B$18*loop_gain!$B$17*loop_gain!$B$18</f>
        <v>-179.30701298701314</v>
      </c>
      <c r="F403" s="161">
        <f>2*Main!$B$18*loop_gain!$B$17*loop_gain!$B$18*Helper_calcs!$B$14*Current_limit!B403</f>
        <v>702.0000000000083</v>
      </c>
      <c r="G403" s="161">
        <f t="shared" si="43"/>
        <v>4.0122363879048732</v>
      </c>
      <c r="H403" s="161">
        <f>(Main!$B$18-Current_limit!G403)*Current_limit!G403/(Main!$B$18*loop_gain!$B$17*loop_gain!$B$18)</f>
        <v>0.38538715515188232</v>
      </c>
      <c r="I403" s="161">
        <f t="shared" si="44"/>
        <v>3.5146128448481178</v>
      </c>
      <c r="J403" s="161"/>
      <c r="K403" s="163">
        <f>IF(A403&gt;$B$15,IF(I403&gt;Helper_calcs!$B$15,23,3),0)</f>
        <v>23</v>
      </c>
      <c r="L403" s="162">
        <f t="shared" si="42"/>
        <v>2</v>
      </c>
      <c r="M403" s="162">
        <f t="shared" si="45"/>
        <v>2</v>
      </c>
      <c r="N403" s="161">
        <f t="shared" si="46"/>
        <v>3.55</v>
      </c>
      <c r="O403" s="161">
        <f t="shared" si="47"/>
        <v>3.8419913419913874</v>
      </c>
      <c r="P403" s="149">
        <f>IF(OR(M403=0,M403=3),loop_gain!$B$18,IF(Current_limit!M403=1,Current_limit!$B$12/(2*(Current_limit!N403-Helper_calcs!$B$15)),IF(OR(M403=2,M403=23),(Main!$B$18-Current_limit!O403)*Current_limit!O403/(Main!$B$18*loop_gain!$B$17*(Helper_calcs!$B$14-Helper_calcs!$B$15)),x)))</f>
        <v>1130699.8063477587</v>
      </c>
      <c r="Q403" s="161"/>
    </row>
    <row r="404" spans="1:17" x14ac:dyDescent="0.25">
      <c r="A404">
        <f t="shared" si="48"/>
        <v>4.6299999999999448</v>
      </c>
      <c r="B404">
        <f>Main!$B$19/A404</f>
        <v>1.0799136069114599</v>
      </c>
      <c r="D404" s="161">
        <f t="shared" si="41"/>
        <v>1.0799136069114599</v>
      </c>
      <c r="E404" s="161">
        <f>-B404*Main!$B$18-2*Main!$B$18*loop_gain!$B$17*loop_gain!$B$18</f>
        <v>-179.27896328293753</v>
      </c>
      <c r="F404" s="161">
        <f>2*Main!$B$18*loop_gain!$B$17*loop_gain!$B$18*Helper_calcs!$B$14*Current_limit!B404</f>
        <v>700.48380129590453</v>
      </c>
      <c r="G404" s="161">
        <f t="shared" si="43"/>
        <v>4.0037891625017519</v>
      </c>
      <c r="H404" s="161">
        <f>(Main!$B$18-Current_limit!G404)*Current_limit!G404/(Main!$B$18*loop_gain!$B$17*loop_gain!$B$18)</f>
        <v>0.38498247104683198</v>
      </c>
      <c r="I404" s="161">
        <f t="shared" si="44"/>
        <v>3.5150175289531624</v>
      </c>
      <c r="J404" s="161"/>
      <c r="K404" s="163">
        <f>IF(A404&gt;$B$15,IF(I404&gt;Helper_calcs!$B$15,23,3),0)</f>
        <v>23</v>
      </c>
      <c r="L404" s="162">
        <f t="shared" si="42"/>
        <v>2</v>
      </c>
      <c r="M404" s="162">
        <f t="shared" si="45"/>
        <v>2</v>
      </c>
      <c r="N404" s="161">
        <f t="shared" si="46"/>
        <v>3.55</v>
      </c>
      <c r="O404" s="161">
        <f t="shared" si="47"/>
        <v>3.8336933045356822</v>
      </c>
      <c r="P404" s="149">
        <f>IF(OR(M404=0,M404=3),loop_gain!$B$18,IF(Current_limit!M404=1,Current_limit!$B$12/(2*(Current_limit!N404-Helper_calcs!$B$15)),IF(OR(M404=2,M404=23),(Main!$B$18-Current_limit!O404)*Current_limit!O404/(Main!$B$18*loop_gain!$B$17*(Helper_calcs!$B$14-Helper_calcs!$B$15)),x)))</f>
        <v>1129405.3138956162</v>
      </c>
      <c r="Q404" s="161"/>
    </row>
    <row r="405" spans="1:17" x14ac:dyDescent="0.25">
      <c r="A405">
        <f t="shared" si="48"/>
        <v>4.6399999999999446</v>
      </c>
      <c r="B405">
        <f>Main!$B$19/A405</f>
        <v>1.0775862068965645</v>
      </c>
      <c r="D405" s="161">
        <f t="shared" si="41"/>
        <v>1.0775862068965645</v>
      </c>
      <c r="E405" s="161">
        <f>-B405*Main!$B$18-2*Main!$B$18*loop_gain!$B$17*loop_gain!$B$18</f>
        <v>-179.25103448275877</v>
      </c>
      <c r="F405" s="161">
        <f>2*Main!$B$18*loop_gain!$B$17*loop_gain!$B$18*Helper_calcs!$B$14*Current_limit!B405</f>
        <v>698.97413793104261</v>
      </c>
      <c r="G405" s="161">
        <f t="shared" si="43"/>
        <v>3.9953783269127712</v>
      </c>
      <c r="H405" s="161">
        <f>(Main!$B$18-Current_limit!G405)*Current_limit!G405/(Main!$B$18*loop_gain!$B$17*loop_gain!$B$18)</f>
        <v>0.38457782524998751</v>
      </c>
      <c r="I405" s="161">
        <f t="shared" si="44"/>
        <v>3.5154221747500141</v>
      </c>
      <c r="J405" s="161"/>
      <c r="K405" s="163">
        <f>IF(A405&gt;$B$15,IF(I405&gt;Helper_calcs!$B$15,23,3),0)</f>
        <v>23</v>
      </c>
      <c r="L405" s="162">
        <f t="shared" si="42"/>
        <v>2</v>
      </c>
      <c r="M405" s="162">
        <f t="shared" si="45"/>
        <v>2</v>
      </c>
      <c r="N405" s="161">
        <f t="shared" si="46"/>
        <v>3.55</v>
      </c>
      <c r="O405" s="161">
        <f t="shared" si="47"/>
        <v>3.8254310344828037</v>
      </c>
      <c r="P405" s="149">
        <f>IF(OR(M405=0,M405=3),loop_gain!$B$18,IF(Current_limit!M405=1,Current_limit!$B$12/(2*(Current_limit!N405-Helper_calcs!$B$15)),IF(OR(M405=2,M405=23),(Main!$B$18-Current_limit!O405)*Current_limit!O405/(Main!$B$18*loop_gain!$B$17*(Helper_calcs!$B$14-Helper_calcs!$B$15)),x)))</f>
        <v>1128111.4651590723</v>
      </c>
      <c r="Q405" s="161"/>
    </row>
    <row r="406" spans="1:17" x14ac:dyDescent="0.25">
      <c r="A406">
        <f t="shared" si="48"/>
        <v>4.6499999999999444</v>
      </c>
      <c r="B406">
        <f>Main!$B$19/A406</f>
        <v>1.0752688172043139</v>
      </c>
      <c r="D406" s="161">
        <f t="shared" si="41"/>
        <v>1.0752688172043139</v>
      </c>
      <c r="E406" s="161">
        <f>-B406*Main!$B$18-2*Main!$B$18*loop_gain!$B$17*loop_gain!$B$18</f>
        <v>-179.22322580645175</v>
      </c>
      <c r="F406" s="161">
        <f>2*Main!$B$18*loop_gain!$B$17*loop_gain!$B$18*Helper_calcs!$B$14*Current_limit!B406</f>
        <v>697.4709677419437</v>
      </c>
      <c r="G406" s="161">
        <f t="shared" si="43"/>
        <v>3.9870036407493079</v>
      </c>
      <c r="H406" s="161">
        <f>(Main!$B$18-Current_limit!G406)*Current_limit!G406/(Main!$B$18*loop_gain!$B$17*loop_gain!$B$18)</f>
        <v>0.38417322820639083</v>
      </c>
      <c r="I406" s="161">
        <f t="shared" si="44"/>
        <v>3.5158267717936167</v>
      </c>
      <c r="J406" s="161"/>
      <c r="K406" s="163">
        <f>IF(A406&gt;$B$15,IF(I406&gt;Helper_calcs!$B$15,23,3),0)</f>
        <v>23</v>
      </c>
      <c r="L406" s="162">
        <f t="shared" si="42"/>
        <v>2</v>
      </c>
      <c r="M406" s="162">
        <f t="shared" si="45"/>
        <v>2</v>
      </c>
      <c r="N406" s="161">
        <f t="shared" si="46"/>
        <v>3.55</v>
      </c>
      <c r="O406" s="161">
        <f t="shared" si="47"/>
        <v>3.8172043010753143</v>
      </c>
      <c r="P406" s="149">
        <f>IF(OR(M406=0,M406=3),loop_gain!$B$18,IF(Current_limit!M406=1,Current_limit!$B$12/(2*(Current_limit!N406-Helper_calcs!$B$15)),IF(OR(M406=2,M406=23),(Main!$B$18-Current_limit!O406)*Current_limit!O406/(Main!$B$18*loop_gain!$B$17*(Helper_calcs!$B$14-Helper_calcs!$B$15)),x)))</f>
        <v>1126818.2877617572</v>
      </c>
      <c r="Q406" s="161"/>
    </row>
    <row r="407" spans="1:17" x14ac:dyDescent="0.25">
      <c r="A407">
        <f t="shared" si="48"/>
        <v>4.6599999999999442</v>
      </c>
      <c r="B407">
        <f>Main!$B$19/A407</f>
        <v>1.0729613733905707</v>
      </c>
      <c r="D407" s="161">
        <f t="shared" ref="D407:D470" si="49">B407</f>
        <v>1.0729613733905707</v>
      </c>
      <c r="E407" s="161">
        <f>-B407*Main!$B$18-2*Main!$B$18*loop_gain!$B$17*loop_gain!$B$18</f>
        <v>-179.19553648068685</v>
      </c>
      <c r="F407" s="161">
        <f>2*Main!$B$18*loop_gain!$B$17*loop_gain!$B$18*Helper_calcs!$B$14*Current_limit!B407</f>
        <v>695.9742489270468</v>
      </c>
      <c r="G407" s="161">
        <f t="shared" si="43"/>
        <v>3.9786648657844905</v>
      </c>
      <c r="H407" s="161">
        <f>(Main!$B$18-Current_limit!G407)*Current_limit!G407/(Main!$B$18*loop_gain!$B$17*loop_gain!$B$18)</f>
        <v>0.38376869017780146</v>
      </c>
      <c r="I407" s="161">
        <f t="shared" si="44"/>
        <v>3.5162313098222002</v>
      </c>
      <c r="J407" s="161"/>
      <c r="K407" s="163">
        <f>IF(A407&gt;$B$15,IF(I407&gt;Helper_calcs!$B$15,23,3),0)</f>
        <v>23</v>
      </c>
      <c r="L407" s="162">
        <f t="shared" ref="L407:L470" si="50">IF(A407&gt;$B$13,IF(A407&gt;$B$14,2,1),0)</f>
        <v>2</v>
      </c>
      <c r="M407" s="162">
        <f t="shared" si="45"/>
        <v>2</v>
      </c>
      <c r="N407" s="161">
        <f t="shared" si="46"/>
        <v>3.55</v>
      </c>
      <c r="O407" s="161">
        <f t="shared" si="47"/>
        <v>3.809012875536526</v>
      </c>
      <c r="P407" s="149">
        <f>IF(OR(M407=0,M407=3),loop_gain!$B$18,IF(Current_limit!M407=1,Current_limit!$B$12/(2*(Current_limit!N407-Helper_calcs!$B$15)),IF(OR(M407=2,M407=23),(Main!$B$18-Current_limit!O407)*Current_limit!O407/(Main!$B$18*loop_gain!$B$17*(Helper_calcs!$B$14-Helper_calcs!$B$15)),x)))</f>
        <v>1125525.808818012</v>
      </c>
      <c r="Q407" s="161"/>
    </row>
    <row r="408" spans="1:17" x14ac:dyDescent="0.25">
      <c r="A408">
        <f t="shared" si="48"/>
        <v>4.669999999999944</v>
      </c>
      <c r="B408">
        <f>Main!$B$19/A408</f>
        <v>1.0706638115631819</v>
      </c>
      <c r="D408" s="161">
        <f t="shared" si="49"/>
        <v>1.0706638115631819</v>
      </c>
      <c r="E408" s="161">
        <f>-B408*Main!$B$18-2*Main!$B$18*loop_gain!$B$17*loop_gain!$B$18</f>
        <v>-179.16796573875817</v>
      </c>
      <c r="F408" s="161">
        <f>2*Main!$B$18*loop_gain!$B$17*loop_gain!$B$18*Helper_calcs!$B$14*Current_limit!B408</f>
        <v>694.48394004283477</v>
      </c>
      <c r="G408" s="161">
        <f t="shared" ref="G408:G471" si="51">(-E408-SQRT(E408^2-4*D408*F408))/(2*D408)</f>
        <v>3.9703617659284602</v>
      </c>
      <c r="H408" s="161">
        <f>(Main!$B$18-Current_limit!G408)*Current_limit!G408/(Main!$B$18*loop_gain!$B$17*loop_gain!$B$18)</f>
        <v>0.38336422124573066</v>
      </c>
      <c r="I408" s="161">
        <f t="shared" ref="I408:I471" si="52">(G408/B408)-0.5*H408</f>
        <v>3.5166357787542726</v>
      </c>
      <c r="J408" s="161"/>
      <c r="K408" s="163">
        <f>IF(A408&gt;$B$15,IF(I408&gt;Helper_calcs!$B$15,23,3),0)</f>
        <v>23</v>
      </c>
      <c r="L408" s="162">
        <f t="shared" si="50"/>
        <v>2</v>
      </c>
      <c r="M408" s="162">
        <f t="shared" ref="M408:M471" si="53">IF($B$16="N",L408,K408)</f>
        <v>2</v>
      </c>
      <c r="N408" s="161">
        <f t="shared" ref="N408:N471" si="54">IF(OR(M408=0,M408=1),A408,IF(OR(M408=2,M408=23),$B$14,G408/B408))</f>
        <v>3.55</v>
      </c>
      <c r="O408" s="161">
        <f t="shared" ref="O408:O471" si="55">N408*B408</f>
        <v>3.8008565310492957</v>
      </c>
      <c r="P408" s="149">
        <f>IF(OR(M408=0,M408=3),loop_gain!$B$18,IF(Current_limit!M408=1,Current_limit!$B$12/(2*(Current_limit!N408-Helper_calcs!$B$15)),IF(OR(M408=2,M408=23),(Main!$B$18-Current_limit!O408)*Current_limit!O408/(Main!$B$18*loop_gain!$B$17*(Helper_calcs!$B$14-Helper_calcs!$B$15)),x)))</f>
        <v>1124234.0549412509</v>
      </c>
      <c r="Q408" s="161"/>
    </row>
    <row r="409" spans="1:17" x14ac:dyDescent="0.25">
      <c r="A409">
        <f t="shared" si="48"/>
        <v>4.6799999999999438</v>
      </c>
      <c r="B409">
        <f>Main!$B$19/A409</f>
        <v>1.0683760683760812</v>
      </c>
      <c r="D409" s="161">
        <f t="shared" si="49"/>
        <v>1.0683760683760812</v>
      </c>
      <c r="E409" s="161">
        <f>-B409*Main!$B$18-2*Main!$B$18*loop_gain!$B$17*loop_gain!$B$18</f>
        <v>-179.14051282051298</v>
      </c>
      <c r="F409" s="161">
        <f>2*Main!$B$18*loop_gain!$B$17*loop_gain!$B$18*Helper_calcs!$B$14*Current_limit!B409</f>
        <v>693.0000000000083</v>
      </c>
      <c r="G409" s="161">
        <f t="shared" si="51"/>
        <v>3.962094107203884</v>
      </c>
      <c r="H409" s="161">
        <f>(Main!$B$18-Current_limit!G409)*Current_limit!G409/(Main!$B$18*loop_gain!$B$17*loop_gain!$B$18)</f>
        <v>0.38295983131441641</v>
      </c>
      <c r="I409" s="161">
        <f t="shared" si="52"/>
        <v>3.5170401686855826</v>
      </c>
      <c r="J409" s="161"/>
      <c r="K409" s="163">
        <f>IF(A409&gt;$B$15,IF(I409&gt;Helper_calcs!$B$15,23,3),0)</f>
        <v>23</v>
      </c>
      <c r="L409" s="162">
        <f t="shared" si="50"/>
        <v>2</v>
      </c>
      <c r="M409" s="162">
        <f t="shared" si="53"/>
        <v>2</v>
      </c>
      <c r="N409" s="161">
        <f t="shared" si="54"/>
        <v>3.55</v>
      </c>
      <c r="O409" s="161">
        <f t="shared" si="55"/>
        <v>3.7927350427350883</v>
      </c>
      <c r="P409" s="149">
        <f>IF(OR(M409=0,M409=3),loop_gain!$B$18,IF(Current_limit!M409=1,Current_limit!$B$12/(2*(Current_limit!N409-Helper_calcs!$B$15)),IF(OR(M409=2,M409=23),(Main!$B$18-Current_limit!O409)*Current_limit!O409/(Main!$B$18*loop_gain!$B$17*(Helper_calcs!$B$14-Helper_calcs!$B$15)),x)))</f>
        <v>1122943.0522521767</v>
      </c>
      <c r="Q409" s="161"/>
    </row>
    <row r="410" spans="1:17" x14ac:dyDescent="0.25">
      <c r="A410">
        <f t="shared" si="48"/>
        <v>4.6899999999999435</v>
      </c>
      <c r="B410">
        <f>Main!$B$19/A410</f>
        <v>1.066098081023467</v>
      </c>
      <c r="D410" s="161">
        <f t="shared" si="49"/>
        <v>1.066098081023467</v>
      </c>
      <c r="E410" s="161">
        <f>-B410*Main!$B$18-2*Main!$B$18*loop_gain!$B$17*loop_gain!$B$18</f>
        <v>-179.11317697228159</v>
      </c>
      <c r="F410" s="161">
        <f>2*Main!$B$18*loop_gain!$B$17*loop_gain!$B$18*Helper_calcs!$B$14*Current_limit!B410</f>
        <v>691.52238805970978</v>
      </c>
      <c r="G410" s="161">
        <f t="shared" si="51"/>
        <v>3.953861657721935</v>
      </c>
      <c r="H410" s="161">
        <f>(Main!$B$18-Current_limit!G410)*Current_limit!G410/(Main!$B$18*loop_gain!$B$17*loop_gain!$B$18)</f>
        <v>0.38255553011375149</v>
      </c>
      <c r="I410" s="161">
        <f t="shared" si="52"/>
        <v>3.5174444698862546</v>
      </c>
      <c r="J410" s="161"/>
      <c r="K410" s="163">
        <f>IF(A410&gt;$B$15,IF(I410&gt;Helper_calcs!$B$15,23,3),0)</f>
        <v>23</v>
      </c>
      <c r="L410" s="162">
        <f t="shared" si="50"/>
        <v>2</v>
      </c>
      <c r="M410" s="162">
        <f t="shared" si="53"/>
        <v>2</v>
      </c>
      <c r="N410" s="161">
        <f t="shared" si="54"/>
        <v>3.55</v>
      </c>
      <c r="O410" s="161">
        <f t="shared" si="55"/>
        <v>3.7846481876333078</v>
      </c>
      <c r="P410" s="149">
        <f>IF(OR(M410=0,M410=3),loop_gain!$B$18,IF(Current_limit!M410=1,Current_limit!$B$12/(2*(Current_limit!N410-Helper_calcs!$B$15)),IF(OR(M410=2,M410=23),(Main!$B$18-Current_limit!O410)*Current_limit!O410/(Main!$B$18*loop_gain!$B$17*(Helper_calcs!$B$14-Helper_calcs!$B$15)),x)))</f>
        <v>1121652.826386855</v>
      </c>
      <c r="Q410" s="161"/>
    </row>
    <row r="411" spans="1:17" x14ac:dyDescent="0.25">
      <c r="A411">
        <f t="shared" si="48"/>
        <v>4.6999999999999433</v>
      </c>
      <c r="B411">
        <f>Main!$B$19/A411</f>
        <v>1.0638297872340554</v>
      </c>
      <c r="D411" s="161">
        <f t="shared" si="49"/>
        <v>1.0638297872340554</v>
      </c>
      <c r="E411" s="161">
        <f>-B411*Main!$B$18-2*Main!$B$18*loop_gain!$B$17*loop_gain!$B$18</f>
        <v>-179.08595744680866</v>
      </c>
      <c r="F411" s="161">
        <f>2*Main!$B$18*loop_gain!$B$17*loop_gain!$B$18*Helper_calcs!$B$14*Current_limit!B411</f>
        <v>690.05106382979545</v>
      </c>
      <c r="G411" s="161">
        <f t="shared" si="51"/>
        <v>3.9456641876584695</v>
      </c>
      <c r="H411" s="161">
        <f>(Main!$B$18-Current_limit!G411)*Current_limit!G411/(Main!$B$18*loop_gain!$B$17*loop_gain!$B$18)</f>
        <v>0.38215132720215328</v>
      </c>
      <c r="I411" s="161">
        <f t="shared" si="52"/>
        <v>3.5178486727978395</v>
      </c>
      <c r="J411" s="161"/>
      <c r="K411" s="163">
        <f>IF(A411&gt;$B$15,IF(I411&gt;Helper_calcs!$B$15,23,3),0)</f>
        <v>23</v>
      </c>
      <c r="L411" s="162">
        <f t="shared" si="50"/>
        <v>2</v>
      </c>
      <c r="M411" s="162">
        <f t="shared" si="53"/>
        <v>2</v>
      </c>
      <c r="N411" s="161">
        <f t="shared" si="54"/>
        <v>3.55</v>
      </c>
      <c r="O411" s="161">
        <f t="shared" si="55"/>
        <v>3.7765957446808964</v>
      </c>
      <c r="P411" s="149">
        <f>IF(OR(M411=0,M411=3),loop_gain!$B$18,IF(Current_limit!M411=1,Current_limit!$B$12/(2*(Current_limit!N411-Helper_calcs!$B$15)),IF(OR(M411=2,M411=23),(Main!$B$18-Current_limit!O411)*Current_limit!O411/(Main!$B$18*loop_gain!$B$17*(Helper_calcs!$B$14-Helper_calcs!$B$15)),x)))</f>
        <v>1120363.4025046506</v>
      </c>
      <c r="Q411" s="161"/>
    </row>
    <row r="412" spans="1:17" x14ac:dyDescent="0.25">
      <c r="A412">
        <f t="shared" si="48"/>
        <v>4.7099999999999431</v>
      </c>
      <c r="B412">
        <f>Main!$B$19/A412</f>
        <v>1.0615711252654056</v>
      </c>
      <c r="D412" s="161">
        <f t="shared" si="49"/>
        <v>1.0615711252654056</v>
      </c>
      <c r="E412" s="161">
        <f>-B412*Main!$B$18-2*Main!$B$18*loop_gain!$B$17*loop_gain!$B$18</f>
        <v>-179.05885350318485</v>
      </c>
      <c r="F412" s="161">
        <f>2*Main!$B$18*loop_gain!$B$17*loop_gain!$B$18*Helper_calcs!$B$14*Current_limit!B412</f>
        <v>688.58598726115474</v>
      </c>
      <c r="G412" s="161">
        <f t="shared" si="51"/>
        <v>3.937501469230734</v>
      </c>
      <c r="H412" s="161">
        <f>(Main!$B$18-Current_limit!G412)*Current_limit!G412/(Main!$B$18*loop_gain!$B$17*loop_gain!$B$18)</f>
        <v>0.38174723196939181</v>
      </c>
      <c r="I412" s="161">
        <f t="shared" si="52"/>
        <v>3.5182527680306106</v>
      </c>
      <c r="J412" s="161"/>
      <c r="K412" s="163">
        <f>IF(A412&gt;$B$15,IF(I412&gt;Helper_calcs!$B$15,23,3),0)</f>
        <v>23</v>
      </c>
      <c r="L412" s="162">
        <f t="shared" si="50"/>
        <v>2</v>
      </c>
      <c r="M412" s="162">
        <f t="shared" si="53"/>
        <v>2</v>
      </c>
      <c r="N412" s="161">
        <f t="shared" si="54"/>
        <v>3.55</v>
      </c>
      <c r="O412" s="161">
        <f t="shared" si="55"/>
        <v>3.7685774946921899</v>
      </c>
      <c r="P412" s="149">
        <f>IF(OR(M412=0,M412=3),loop_gain!$B$18,IF(Current_limit!M412=1,Current_limit!$B$12/(2*(Current_limit!N412-Helper_calcs!$B$15)),IF(OR(M412=2,M412=23),(Main!$B$18-Current_limit!O412)*Current_limit!O412/(Main!$B$18*loop_gain!$B$17*(Helper_calcs!$B$14-Helper_calcs!$B$15)),x)))</f>
        <v>1119074.8052960255</v>
      </c>
      <c r="Q412" s="161"/>
    </row>
    <row r="413" spans="1:17" x14ac:dyDescent="0.25">
      <c r="A413">
        <f t="shared" si="48"/>
        <v>4.7199999999999429</v>
      </c>
      <c r="B413">
        <f>Main!$B$19/A413</f>
        <v>1.0593220338983178</v>
      </c>
      <c r="D413" s="161">
        <f t="shared" si="49"/>
        <v>1.0593220338983178</v>
      </c>
      <c r="E413" s="161">
        <f>-B413*Main!$B$18-2*Main!$B$18*loop_gain!$B$17*loop_gain!$B$18</f>
        <v>-179.03186440677982</v>
      </c>
      <c r="F413" s="161">
        <f>2*Main!$B$18*loop_gain!$B$17*loop_gain!$B$18*Helper_calcs!$B$14*Current_limit!B413</f>
        <v>687.12711864407595</v>
      </c>
      <c r="G413" s="161">
        <f t="shared" si="51"/>
        <v>3.9293732766741214</v>
      </c>
      <c r="H413" s="161">
        <f>(Main!$B$18-Current_limit!G413)*Current_limit!G413/(Main!$B$18*loop_gain!$B$17*loop_gain!$B$18)</f>
        <v>0.38134325363935467</v>
      </c>
      <c r="I413" s="161">
        <f t="shared" si="52"/>
        <v>3.5186567463606484</v>
      </c>
      <c r="J413" s="161"/>
      <c r="K413" s="163">
        <f>IF(A413&gt;$B$15,IF(I413&gt;Helper_calcs!$B$15,23,3),0)</f>
        <v>23</v>
      </c>
      <c r="L413" s="162">
        <f t="shared" si="50"/>
        <v>2</v>
      </c>
      <c r="M413" s="162">
        <f t="shared" si="53"/>
        <v>2</v>
      </c>
      <c r="N413" s="161">
        <f t="shared" si="54"/>
        <v>3.55</v>
      </c>
      <c r="O413" s="161">
        <f t="shared" si="55"/>
        <v>3.760593220339028</v>
      </c>
      <c r="P413" s="149">
        <f>IF(OR(M413=0,M413=3),loop_gain!$B$18,IF(Current_limit!M413=1,Current_limit!$B$12/(2*(Current_limit!N413-Helper_calcs!$B$15)),IF(OR(M413=2,M413=23),(Main!$B$18-Current_limit!O413)*Current_limit!O413/(Main!$B$18*loop_gain!$B$17*(Helper_calcs!$B$14-Helper_calcs!$B$15)),x)))</f>
        <v>1117787.0589902052</v>
      </c>
      <c r="Q413" s="161"/>
    </row>
    <row r="414" spans="1:17" x14ac:dyDescent="0.25">
      <c r="A414">
        <f t="shared" si="48"/>
        <v>4.7299999999999427</v>
      </c>
      <c r="B414">
        <f>Main!$B$19/A414</f>
        <v>1.0570824524313025</v>
      </c>
      <c r="D414" s="161">
        <f t="shared" si="49"/>
        <v>1.0570824524313025</v>
      </c>
      <c r="E414" s="161">
        <f>-B414*Main!$B$18-2*Main!$B$18*loop_gain!$B$17*loop_gain!$B$18</f>
        <v>-179.00498942917562</v>
      </c>
      <c r="F414" s="161">
        <f>2*Main!$B$18*loop_gain!$B$17*loop_gain!$B$18*Helper_calcs!$B$14*Current_limit!B414</f>
        <v>685.67441860465942</v>
      </c>
      <c r="G414" s="161">
        <f t="shared" si="51"/>
        <v>3.9212793862195077</v>
      </c>
      <c r="H414" s="161">
        <f>(Main!$B$18-Current_limit!G414)*Current_limit!G414/(Main!$B$18*loop_gain!$B$17*loop_gain!$B$18)</f>
        <v>0.38093940127277603</v>
      </c>
      <c r="I414" s="161">
        <f t="shared" si="52"/>
        <v>3.5190605987272212</v>
      </c>
      <c r="J414" s="161"/>
      <c r="K414" s="163">
        <f>IF(A414&gt;$B$15,IF(I414&gt;Helper_calcs!$B$15,23,3),0)</f>
        <v>23</v>
      </c>
      <c r="L414" s="162">
        <f t="shared" si="50"/>
        <v>2</v>
      </c>
      <c r="M414" s="162">
        <f t="shared" si="53"/>
        <v>2</v>
      </c>
      <c r="N414" s="161">
        <f t="shared" si="54"/>
        <v>3.55</v>
      </c>
      <c r="O414" s="161">
        <f t="shared" si="55"/>
        <v>3.7526427061311236</v>
      </c>
      <c r="P414" s="149">
        <f>IF(OR(M414=0,M414=3),loop_gain!$B$18,IF(Current_limit!M414=1,Current_limit!$B$12/(2*(Current_limit!N414-Helper_calcs!$B$15)),IF(OR(M414=2,M414=23),(Main!$B$18-Current_limit!O414)*Current_limit!O414/(Main!$B$18*loop_gain!$B$17*(Helper_calcs!$B$14-Helper_calcs!$B$15)),x)))</f>
        <v>1116500.1873627119</v>
      </c>
      <c r="Q414" s="161"/>
    </row>
    <row r="415" spans="1:17" x14ac:dyDescent="0.25">
      <c r="A415">
        <f t="shared" si="48"/>
        <v>4.7399999999999425</v>
      </c>
      <c r="B415">
        <f>Main!$B$19/A415</f>
        <v>1.0548523206751184</v>
      </c>
      <c r="D415" s="161">
        <f t="shared" si="49"/>
        <v>1.0548523206751184</v>
      </c>
      <c r="E415" s="161">
        <f>-B415*Main!$B$18-2*Main!$B$18*loop_gain!$B$17*loop_gain!$B$18</f>
        <v>-178.97822784810143</v>
      </c>
      <c r="F415" s="161">
        <f>2*Main!$B$18*loop_gain!$B$17*loop_gain!$B$18*Helper_calcs!$B$14*Current_limit!B415</f>
        <v>684.22784810127405</v>
      </c>
      <c r="G415" s="161">
        <f t="shared" si="51"/>
        <v>3.91321957607077</v>
      </c>
      <c r="H415" s="161">
        <f>(Main!$B$18-Current_limit!G415)*Current_limit!G415/(Main!$B$18*loop_gain!$B$17*loop_gain!$B$18)</f>
        <v>0.38053568376991037</v>
      </c>
      <c r="I415" s="161">
        <f t="shared" si="52"/>
        <v>3.5194643162300898</v>
      </c>
      <c r="J415" s="161"/>
      <c r="K415" s="163">
        <f>IF(A415&gt;$B$15,IF(I415&gt;Helper_calcs!$B$15,23,3),0)</f>
        <v>23</v>
      </c>
      <c r="L415" s="162">
        <f t="shared" si="50"/>
        <v>2</v>
      </c>
      <c r="M415" s="162">
        <f t="shared" si="53"/>
        <v>2</v>
      </c>
      <c r="N415" s="161">
        <f t="shared" si="54"/>
        <v>3.55</v>
      </c>
      <c r="O415" s="161">
        <f t="shared" si="55"/>
        <v>3.7447257383966699</v>
      </c>
      <c r="P415" s="149">
        <f>IF(OR(M415=0,M415=3),loop_gain!$B$18,IF(Current_limit!M415=1,Current_limit!$B$12/(2*(Current_limit!N415-Helper_calcs!$B$15)),IF(OR(M415=2,M415=23),(Main!$B$18-Current_limit!O415)*Current_limit!O415/(Main!$B$18*loop_gain!$B$17*(Helper_calcs!$B$14-Helper_calcs!$B$15)),x)))</f>
        <v>1115214.2137427693</v>
      </c>
      <c r="Q415" s="161"/>
    </row>
    <row r="416" spans="1:17" x14ac:dyDescent="0.25">
      <c r="A416">
        <f t="shared" si="48"/>
        <v>4.7499999999999423</v>
      </c>
      <c r="B416">
        <f>Main!$B$19/A416</f>
        <v>1.0526315789473812</v>
      </c>
      <c r="D416" s="161">
        <f t="shared" si="49"/>
        <v>1.0526315789473812</v>
      </c>
      <c r="E416" s="161">
        <f>-B416*Main!$B$18-2*Main!$B$18*loop_gain!$B$17*loop_gain!$B$18</f>
        <v>-178.95157894736857</v>
      </c>
      <c r="F416" s="161">
        <f>2*Main!$B$18*loop_gain!$B$17*loop_gain!$B$18*Helper_calcs!$B$14*Current_limit!B416</f>
        <v>682.78736842106082</v>
      </c>
      <c r="G416" s="161">
        <f t="shared" si="51"/>
        <v>3.9051936263826001</v>
      </c>
      <c r="H416" s="161">
        <f>(Main!$B$18-Current_limit!G416)*Current_limit!G416/(Main!$B$18*loop_gain!$B$17*loop_gain!$B$18)</f>
        <v>0.38013210987315926</v>
      </c>
      <c r="I416" s="161">
        <f t="shared" si="52"/>
        <v>3.5198678901268452</v>
      </c>
      <c r="J416" s="161"/>
      <c r="K416" s="163">
        <f>IF(A416&gt;$B$15,IF(I416&gt;Helper_calcs!$B$15,23,3),0)</f>
        <v>23</v>
      </c>
      <c r="L416" s="162">
        <f t="shared" si="50"/>
        <v>2</v>
      </c>
      <c r="M416" s="162">
        <f t="shared" si="53"/>
        <v>2</v>
      </c>
      <c r="N416" s="161">
        <f t="shared" si="54"/>
        <v>3.55</v>
      </c>
      <c r="O416" s="161">
        <f t="shared" si="55"/>
        <v>3.7368421052632033</v>
      </c>
      <c r="P416" s="149">
        <f>IF(OR(M416=0,M416=3),loop_gain!$B$18,IF(Current_limit!M416=1,Current_limit!$B$12/(2*(Current_limit!N416-Helper_calcs!$B$15)),IF(OR(M416=2,M416=23),(Main!$B$18-Current_limit!O416)*Current_limit!O416/(Main!$B$18*loop_gain!$B$17*(Helper_calcs!$B$14-Helper_calcs!$B$15)),x)))</f>
        <v>1113929.1610205816</v>
      </c>
      <c r="Q416" s="161"/>
    </row>
    <row r="417" spans="1:17" x14ac:dyDescent="0.25">
      <c r="A417">
        <f t="shared" ref="A417:A480" si="56">A416+0.01</f>
        <v>4.7599999999999421</v>
      </c>
      <c r="B417">
        <f>Main!$B$19/A417</f>
        <v>1.0504201680672396</v>
      </c>
      <c r="D417" s="161">
        <f t="shared" si="49"/>
        <v>1.0504201680672396</v>
      </c>
      <c r="E417" s="161">
        <f>-B417*Main!$B$18-2*Main!$B$18*loop_gain!$B$17*loop_gain!$B$18</f>
        <v>-178.92504201680686</v>
      </c>
      <c r="F417" s="161">
        <f>2*Main!$B$18*loop_gain!$B$17*loop_gain!$B$18*Helper_calcs!$B$14*Current_limit!B417</f>
        <v>681.35294117647868</v>
      </c>
      <c r="G417" s="161">
        <f t="shared" si="51"/>
        <v>3.897201319238675</v>
      </c>
      <c r="H417" s="161">
        <f>(Main!$B$18-Current_limit!G417)*Current_limit!G417/(Main!$B$18*loop_gain!$B$17*loop_gain!$B$18)</f>
        <v>0.37972868816965405</v>
      </c>
      <c r="I417" s="161">
        <f t="shared" si="52"/>
        <v>3.520271311830347</v>
      </c>
      <c r="J417" s="161"/>
      <c r="K417" s="163">
        <f>IF(A417&gt;$B$15,IF(I417&gt;Helper_calcs!$B$15,23,3),0)</f>
        <v>23</v>
      </c>
      <c r="L417" s="162">
        <f t="shared" si="50"/>
        <v>2</v>
      </c>
      <c r="M417" s="162">
        <f t="shared" si="53"/>
        <v>2</v>
      </c>
      <c r="N417" s="161">
        <f t="shared" si="54"/>
        <v>3.55</v>
      </c>
      <c r="O417" s="161">
        <f t="shared" si="55"/>
        <v>3.7289915966387004</v>
      </c>
      <c r="P417" s="149">
        <f>IF(OR(M417=0,M417=3),loop_gain!$B$18,IF(Current_limit!M417=1,Current_limit!$B$12/(2*(Current_limit!N417-Helper_calcs!$B$15)),IF(OR(M417=2,M417=23),(Main!$B$18-Current_limit!O417)*Current_limit!O417/(Main!$B$18*loop_gain!$B$17*(Helper_calcs!$B$14-Helper_calcs!$B$15)),x)))</f>
        <v>1112645.0516544869</v>
      </c>
      <c r="Q417" s="161"/>
    </row>
    <row r="418" spans="1:17" x14ac:dyDescent="0.25">
      <c r="A418">
        <f t="shared" si="56"/>
        <v>4.7699999999999418</v>
      </c>
      <c r="B418">
        <f>Main!$B$19/A418</f>
        <v>1.0482180293501175</v>
      </c>
      <c r="D418" s="161">
        <f t="shared" si="49"/>
        <v>1.0482180293501175</v>
      </c>
      <c r="E418" s="161">
        <f>-B418*Main!$B$18-2*Main!$B$18*loop_gain!$B$17*loop_gain!$B$18</f>
        <v>-178.8986163522014</v>
      </c>
      <c r="F418" s="161">
        <f>2*Main!$B$18*loop_gain!$B$17*loop_gain!$B$18*Helper_calcs!$B$14*Current_limit!B418</f>
        <v>679.92452830189495</v>
      </c>
      <c r="G418" s="161">
        <f t="shared" si="51"/>
        <v>3.8892424386301299</v>
      </c>
      <c r="H418" s="161">
        <f>(Main!$B$18-Current_limit!G418)*Current_limit!G418/(Main!$B$18*loop_gain!$B$17*loop_gain!$B$18)</f>
        <v>0.37932542709379408</v>
      </c>
      <c r="I418" s="161">
        <f t="shared" si="52"/>
        <v>3.5206745729062021</v>
      </c>
      <c r="J418" s="161"/>
      <c r="K418" s="163">
        <f>IF(A418&gt;$B$15,IF(I418&gt;Helper_calcs!$B$15,23,3),0)</f>
        <v>23</v>
      </c>
      <c r="L418" s="162">
        <f t="shared" si="50"/>
        <v>2</v>
      </c>
      <c r="M418" s="162">
        <f t="shared" si="53"/>
        <v>2</v>
      </c>
      <c r="N418" s="161">
        <f t="shared" si="54"/>
        <v>3.55</v>
      </c>
      <c r="O418" s="161">
        <f t="shared" si="55"/>
        <v>3.7211740041929171</v>
      </c>
      <c r="P418" s="149">
        <f>IF(OR(M418=0,M418=3),loop_gain!$B$18,IF(Current_limit!M418=1,Current_limit!$B$12/(2*(Current_limit!N418-Helper_calcs!$B$15)),IF(OR(M418=2,M418=23),(Main!$B$18-Current_limit!O418)*Current_limit!O418/(Main!$B$18*loop_gain!$B$17*(Helper_calcs!$B$14-Helper_calcs!$B$15)),x)))</f>
        <v>1111361.9076779895</v>
      </c>
      <c r="Q418" s="161"/>
    </row>
    <row r="419" spans="1:17" x14ac:dyDescent="0.25">
      <c r="A419">
        <f t="shared" si="56"/>
        <v>4.7799999999999416</v>
      </c>
      <c r="B419">
        <f>Main!$B$19/A419</f>
        <v>1.0460251046025233</v>
      </c>
      <c r="D419" s="161">
        <f t="shared" si="49"/>
        <v>1.0460251046025233</v>
      </c>
      <c r="E419" s="161">
        <f>-B419*Main!$B$18-2*Main!$B$18*loop_gain!$B$17*loop_gain!$B$18</f>
        <v>-178.87230125523027</v>
      </c>
      <c r="F419" s="161">
        <f>2*Main!$B$18*loop_gain!$B$17*loop_gain!$B$18*Helper_calcs!$B$14*Current_limit!B419</f>
        <v>678.50209205021747</v>
      </c>
      <c r="G419" s="161">
        <f t="shared" si="51"/>
        <v>3.8813167704342897</v>
      </c>
      <c r="H419" s="161">
        <f>(Main!$B$18-Current_limit!G419)*Current_limit!G419/(Main!$B$18*loop_gain!$B$17*loop_gain!$B$18)</f>
        <v>0.37892233492973804</v>
      </c>
      <c r="I419" s="161">
        <f t="shared" si="52"/>
        <v>3.5210776650702664</v>
      </c>
      <c r="J419" s="161"/>
      <c r="K419" s="163">
        <f>IF(A419&gt;$B$15,IF(I419&gt;Helper_calcs!$B$15,23,3),0)</f>
        <v>23</v>
      </c>
      <c r="L419" s="162">
        <f t="shared" si="50"/>
        <v>2</v>
      </c>
      <c r="M419" s="162">
        <f t="shared" si="53"/>
        <v>2</v>
      </c>
      <c r="N419" s="161">
        <f t="shared" si="54"/>
        <v>3.55</v>
      </c>
      <c r="O419" s="161">
        <f t="shared" si="55"/>
        <v>3.7133891213389574</v>
      </c>
      <c r="P419" s="149">
        <f>IF(OR(M419=0,M419=3),loop_gain!$B$18,IF(Current_limit!M419=1,Current_limit!$B$12/(2*(Current_limit!N419-Helper_calcs!$B$15)),IF(OR(M419=2,M419=23),(Main!$B$18-Current_limit!O419)*Current_limit!O419/(Main!$B$18*loop_gain!$B$17*(Helper_calcs!$B$14-Helper_calcs!$B$15)),x)))</f>
        <v>1110079.7507066734</v>
      </c>
      <c r="Q419" s="161"/>
    </row>
    <row r="420" spans="1:17" x14ac:dyDescent="0.25">
      <c r="A420">
        <f t="shared" si="56"/>
        <v>4.7899999999999414</v>
      </c>
      <c r="B420">
        <f>Main!$B$19/A420</f>
        <v>1.043841336116923</v>
      </c>
      <c r="D420" s="161">
        <f t="shared" si="49"/>
        <v>1.043841336116923</v>
      </c>
      <c r="E420" s="161">
        <f>-B420*Main!$B$18-2*Main!$B$18*loop_gain!$B$17*loop_gain!$B$18</f>
        <v>-178.84609603340306</v>
      </c>
      <c r="F420" s="161">
        <f>2*Main!$B$18*loop_gain!$B$17*loop_gain!$B$18*Helper_calcs!$B$14*Current_limit!B420</f>
        <v>677.08559498956981</v>
      </c>
      <c r="G420" s="161">
        <f t="shared" si="51"/>
        <v>3.8734241023936491</v>
      </c>
      <c r="H420" s="161">
        <f>(Main!$B$18-Current_limit!G420)*Current_limit!G420/(Main!$B$18*loop_gain!$B$17*loop_gain!$B$18)</f>
        <v>0.37851941981384973</v>
      </c>
      <c r="I420" s="161">
        <f t="shared" si="52"/>
        <v>3.5214805801861457</v>
      </c>
      <c r="J420" s="161"/>
      <c r="K420" s="163">
        <f>IF(A420&gt;$B$15,IF(I420&gt;Helper_calcs!$B$15,23,3),0)</f>
        <v>23</v>
      </c>
      <c r="L420" s="162">
        <f t="shared" si="50"/>
        <v>2</v>
      </c>
      <c r="M420" s="162">
        <f t="shared" si="53"/>
        <v>2</v>
      </c>
      <c r="N420" s="161">
        <f t="shared" si="54"/>
        <v>3.55</v>
      </c>
      <c r="O420" s="161">
        <f t="shared" si="55"/>
        <v>3.7056367432150763</v>
      </c>
      <c r="P420" s="149">
        <f>IF(OR(M420=0,M420=3),loop_gain!$B$18,IF(Current_limit!M420=1,Current_limit!$B$12/(2*(Current_limit!N420-Helper_calcs!$B$15)),IF(OR(M420=2,M420=23),(Main!$B$18-Current_limit!O420)*Current_limit!O420/(Main!$B$18*loop_gain!$B$17*(Helper_calcs!$B$14-Helper_calcs!$B$15)),x)))</f>
        <v>1108798.601944996</v>
      </c>
      <c r="Q420" s="161"/>
    </row>
    <row r="421" spans="1:17" x14ac:dyDescent="0.25">
      <c r="A421">
        <f t="shared" si="56"/>
        <v>4.7999999999999412</v>
      </c>
      <c r="B421">
        <f>Main!$B$19/A421</f>
        <v>1.0416666666666794</v>
      </c>
      <c r="D421" s="161">
        <f t="shared" si="49"/>
        <v>1.0416666666666794</v>
      </c>
      <c r="E421" s="161">
        <f>-B421*Main!$B$18-2*Main!$B$18*loop_gain!$B$17*loop_gain!$B$18</f>
        <v>-178.82000000000014</v>
      </c>
      <c r="F421" s="161">
        <f>2*Main!$B$18*loop_gain!$B$17*loop_gain!$B$18*Helper_calcs!$B$14*Current_limit!B421</f>
        <v>675.67500000000814</v>
      </c>
      <c r="G421" s="161">
        <f t="shared" si="51"/>
        <v>3.8655642240953041</v>
      </c>
      <c r="H421" s="161">
        <f>(Main!$B$18-Current_limit!G421)*Current_limit!G421/(Main!$B$18*loop_gain!$B$17*loop_gain!$B$18)</f>
        <v>0.3781166897371106</v>
      </c>
      <c r="I421" s="161">
        <f t="shared" si="52"/>
        <v>3.5218833102628913</v>
      </c>
      <c r="J421" s="161"/>
      <c r="K421" s="163">
        <f>IF(A421&gt;$B$15,IF(I421&gt;Helper_calcs!$B$15,23,3),0)</f>
        <v>23</v>
      </c>
      <c r="L421" s="162">
        <f t="shared" si="50"/>
        <v>2</v>
      </c>
      <c r="M421" s="162">
        <f t="shared" si="53"/>
        <v>2</v>
      </c>
      <c r="N421" s="161">
        <f t="shared" si="54"/>
        <v>3.55</v>
      </c>
      <c r="O421" s="161">
        <f t="shared" si="55"/>
        <v>3.6979166666667118</v>
      </c>
      <c r="P421" s="149">
        <f>IF(OR(M421=0,M421=3),loop_gain!$B$18,IF(Current_limit!M421=1,Current_limit!$B$12/(2*(Current_limit!N421-Helper_calcs!$B$15)),IF(OR(M421=2,M421=23),(Main!$B$18-Current_limit!O421)*Current_limit!O421/(Main!$B$18*loop_gain!$B$17*(Helper_calcs!$B$14-Helper_calcs!$B$15)),x)))</f>
        <v>1107518.4821929692</v>
      </c>
      <c r="Q421" s="161"/>
    </row>
    <row r="422" spans="1:17" x14ac:dyDescent="0.25">
      <c r="A422">
        <f t="shared" si="56"/>
        <v>4.809999999999941</v>
      </c>
      <c r="B422">
        <f>Main!$B$19/A422</f>
        <v>1.0395010395010522</v>
      </c>
      <c r="D422" s="161">
        <f t="shared" si="49"/>
        <v>1.0395010395010522</v>
      </c>
      <c r="E422" s="161">
        <f>-B422*Main!$B$18-2*Main!$B$18*loop_gain!$B$17*loop_gain!$B$18</f>
        <v>-178.79401247401262</v>
      </c>
      <c r="F422" s="161">
        <f>2*Main!$B$18*loop_gain!$B$17*loop_gain!$B$18*Helper_calcs!$B$14*Current_limit!B422</f>
        <v>674.27027027027839</v>
      </c>
      <c r="G422" s="161">
        <f t="shared" si="51"/>
        <v>3.8577369269504223</v>
      </c>
      <c r="H422" s="161">
        <f>(Main!$B$18-Current_limit!G422)*Current_limit!G422/(Main!$B$18*loop_gain!$B$17*loop_gain!$B$18)</f>
        <v>0.37771415254747687</v>
      </c>
      <c r="I422" s="161">
        <f t="shared" si="52"/>
        <v>3.5222858474525225</v>
      </c>
      <c r="J422" s="161"/>
      <c r="K422" s="163">
        <f>IF(A422&gt;$B$15,IF(I422&gt;Helper_calcs!$B$15,23,3),0)</f>
        <v>23</v>
      </c>
      <c r="L422" s="162">
        <f t="shared" si="50"/>
        <v>2</v>
      </c>
      <c r="M422" s="162">
        <f t="shared" si="53"/>
        <v>2</v>
      </c>
      <c r="N422" s="161">
        <f t="shared" si="54"/>
        <v>3.55</v>
      </c>
      <c r="O422" s="161">
        <f t="shared" si="55"/>
        <v>3.6902286902287353</v>
      </c>
      <c r="P422" s="149">
        <f>IF(OR(M422=0,M422=3),loop_gain!$B$18,IF(Current_limit!M422=1,Current_limit!$B$12/(2*(Current_limit!N422-Helper_calcs!$B$15)),IF(OR(M422=2,M422=23),(Main!$B$18-Current_limit!O422)*Current_limit!O422/(Main!$B$18*loop_gain!$B$17*(Helper_calcs!$B$14-Helper_calcs!$B$15)),x)))</f>
        <v>1106239.4118527255</v>
      </c>
      <c r="Q422" s="161"/>
    </row>
    <row r="423" spans="1:17" x14ac:dyDescent="0.25">
      <c r="A423">
        <f t="shared" si="56"/>
        <v>4.8199999999999408</v>
      </c>
      <c r="B423">
        <f>Main!$B$19/A423</f>
        <v>1.0373443983402617</v>
      </c>
      <c r="D423" s="161">
        <f t="shared" si="49"/>
        <v>1.0373443983402617</v>
      </c>
      <c r="E423" s="161">
        <f>-B423*Main!$B$18-2*Main!$B$18*loop_gain!$B$17*loop_gain!$B$18</f>
        <v>-178.76813278008314</v>
      </c>
      <c r="F423" s="161">
        <f>2*Main!$B$18*loop_gain!$B$17*loop_gain!$B$18*Helper_calcs!$B$14*Current_limit!B423</f>
        <v>672.87136929461394</v>
      </c>
      <c r="G423" s="161">
        <f t="shared" si="51"/>
        <v>3.849942004174213</v>
      </c>
      <c r="H423" s="161">
        <f>(Main!$B$18-Current_limit!G423)*Current_limit!G423/(Main!$B$18*loop_gain!$B$17*loop_gain!$B$18)</f>
        <v>0.37731181595220781</v>
      </c>
      <c r="I423" s="161">
        <f t="shared" si="52"/>
        <v>3.5226881840477917</v>
      </c>
      <c r="J423" s="161"/>
      <c r="K423" s="163">
        <f>IF(A423&gt;$B$15,IF(I423&gt;Helper_calcs!$B$15,23,3),0)</f>
        <v>23</v>
      </c>
      <c r="L423" s="162">
        <f t="shared" si="50"/>
        <v>2</v>
      </c>
      <c r="M423" s="162">
        <f t="shared" si="53"/>
        <v>2</v>
      </c>
      <c r="N423" s="161">
        <f t="shared" si="54"/>
        <v>3.55</v>
      </c>
      <c r="O423" s="161">
        <f t="shared" si="55"/>
        <v>3.6825726141079289</v>
      </c>
      <c r="P423" s="149">
        <f>IF(OR(M423=0,M423=3),loop_gain!$B$18,IF(Current_limit!M423=1,Current_limit!$B$12/(2*(Current_limit!N423-Helper_calcs!$B$15)),IF(OR(M423=2,M423=23),(Main!$B$18-Current_limit!O423)*Current_limit!O423/(Main!$B$18*loop_gain!$B$17*(Helper_calcs!$B$14-Helper_calcs!$B$15)),x)))</f>
        <v>1104961.410934973</v>
      </c>
      <c r="Q423" s="161"/>
    </row>
    <row r="424" spans="1:17" x14ac:dyDescent="0.25">
      <c r="A424">
        <f t="shared" si="56"/>
        <v>4.8299999999999406</v>
      </c>
      <c r="B424">
        <f>Main!$B$19/A424</f>
        <v>1.0351966873706131</v>
      </c>
      <c r="D424" s="161">
        <f t="shared" si="49"/>
        <v>1.0351966873706131</v>
      </c>
      <c r="E424" s="161">
        <f>-B424*Main!$B$18-2*Main!$B$18*loop_gain!$B$17*loop_gain!$B$18</f>
        <v>-178.74236024844734</v>
      </c>
      <c r="F424" s="161">
        <f>2*Main!$B$18*loop_gain!$B$17*loop_gain!$B$18*Helper_calcs!$B$14*Current_limit!B424</f>
        <v>671.47826086957332</v>
      </c>
      <c r="G424" s="161">
        <f t="shared" si="51"/>
        <v>3.8421792507660166</v>
      </c>
      <c r="H424" s="161">
        <f>(Main!$B$18-Current_limit!G424)*Current_limit!G424/(Main!$B$18*loop_gain!$B$17*loop_gain!$B$18)</f>
        <v>0.37690968752014548</v>
      </c>
      <c r="I424" s="161">
        <f t="shared" si="52"/>
        <v>3.5230903124798538</v>
      </c>
      <c r="J424" s="161"/>
      <c r="K424" s="163">
        <f>IF(A424&gt;$B$15,IF(I424&gt;Helper_calcs!$B$15,23,3),0)</f>
        <v>23</v>
      </c>
      <c r="L424" s="162">
        <f t="shared" si="50"/>
        <v>2</v>
      </c>
      <c r="M424" s="162">
        <f t="shared" si="53"/>
        <v>2</v>
      </c>
      <c r="N424" s="161">
        <f t="shared" si="54"/>
        <v>3.55</v>
      </c>
      <c r="O424" s="161">
        <f t="shared" si="55"/>
        <v>3.6749482401656763</v>
      </c>
      <c r="P424" s="149">
        <f>IF(OR(M424=0,M424=3),loop_gain!$B$18,IF(Current_limit!M424=1,Current_limit!$B$12/(2*(Current_limit!N424-Helper_calcs!$B$15)),IF(OR(M424=2,M424=23),(Main!$B$18-Current_limit!O424)*Current_limit!O424/(Main!$B$18*loop_gain!$B$17*(Helper_calcs!$B$14-Helper_calcs!$B$15)),x)))</f>
        <v>1103684.4990653438</v>
      </c>
      <c r="Q424" s="161"/>
    </row>
    <row r="425" spans="1:17" x14ac:dyDescent="0.25">
      <c r="A425">
        <f t="shared" si="56"/>
        <v>4.8399999999999403</v>
      </c>
      <c r="B425">
        <f>Main!$B$19/A425</f>
        <v>1.0330578512396822</v>
      </c>
      <c r="D425" s="161">
        <f t="shared" si="49"/>
        <v>1.0330578512396822</v>
      </c>
      <c r="E425" s="161">
        <f>-B425*Main!$B$18-2*Main!$B$18*loop_gain!$B$17*loop_gain!$B$18</f>
        <v>-178.71669421487618</v>
      </c>
      <c r="F425" s="161">
        <f>2*Main!$B$18*loop_gain!$B$17*loop_gain!$B$18*Helper_calcs!$B$14*Current_limit!B425</f>
        <v>670.09090909091731</v>
      </c>
      <c r="G425" s="161">
        <f t="shared" si="51"/>
        <v>3.8344484634897325</v>
      </c>
      <c r="H425" s="161">
        <f>(Main!$B$18-Current_limit!G425)*Current_limit!G425/(Main!$B$18*loop_gain!$B$17*loop_gain!$B$18)</f>
        <v>0.37650777468395891</v>
      </c>
      <c r="I425" s="161">
        <f t="shared" si="52"/>
        <v>3.5234922253160357</v>
      </c>
      <c r="J425" s="161"/>
      <c r="K425" s="163">
        <f>IF(A425&gt;$B$15,IF(I425&gt;Helper_calcs!$B$15,23,3),0)</f>
        <v>23</v>
      </c>
      <c r="L425" s="162">
        <f t="shared" si="50"/>
        <v>2</v>
      </c>
      <c r="M425" s="162">
        <f t="shared" si="53"/>
        <v>2</v>
      </c>
      <c r="N425" s="161">
        <f t="shared" si="54"/>
        <v>3.55</v>
      </c>
      <c r="O425" s="161">
        <f t="shared" si="55"/>
        <v>3.6673553719008716</v>
      </c>
      <c r="P425" s="149">
        <f>IF(OR(M425=0,M425=3),loop_gain!$B$18,IF(Current_limit!M425=1,Current_limit!$B$12/(2*(Current_limit!N425-Helper_calcs!$B$15)),IF(OR(M425=2,M425=23),(Main!$B$18-Current_limit!O425)*Current_limit!O425/(Main!$B$18*loop_gain!$B$17*(Helper_calcs!$B$14-Helper_calcs!$B$15)),x)))</f>
        <v>1102408.695490631</v>
      </c>
      <c r="Q425" s="161"/>
    </row>
    <row r="426" spans="1:17" x14ac:dyDescent="0.25">
      <c r="A426">
        <f t="shared" si="56"/>
        <v>4.8499999999999401</v>
      </c>
      <c r="B426">
        <f>Main!$B$19/A426</f>
        <v>1.0309278350515592</v>
      </c>
      <c r="D426" s="161">
        <f t="shared" si="49"/>
        <v>1.0309278350515592</v>
      </c>
      <c r="E426" s="161">
        <f>-B426*Main!$B$18-2*Main!$B$18*loop_gain!$B$17*loop_gain!$B$18</f>
        <v>-178.6911340206187</v>
      </c>
      <c r="F426" s="161">
        <f>2*Main!$B$18*loop_gain!$B$17*loop_gain!$B$18*Helper_calcs!$B$14*Current_limit!B426</f>
        <v>668.70927835052362</v>
      </c>
      <c r="G426" s="161">
        <f t="shared" si="51"/>
        <v>3.8267494408545089</v>
      </c>
      <c r="H426" s="161">
        <f>(Main!$B$18-Current_limit!G426)*Current_limit!G426/(Main!$B$18*loop_gain!$B$17*loop_gain!$B$18)</f>
        <v>0.3761060847423498</v>
      </c>
      <c r="I426" s="161">
        <f t="shared" si="52"/>
        <v>3.5238939152576525</v>
      </c>
      <c r="J426" s="161"/>
      <c r="K426" s="163">
        <f>IF(A426&gt;$B$15,IF(I426&gt;Helper_calcs!$B$15,23,3),0)</f>
        <v>23</v>
      </c>
      <c r="L426" s="162">
        <f t="shared" si="50"/>
        <v>2</v>
      </c>
      <c r="M426" s="162">
        <f t="shared" si="53"/>
        <v>2</v>
      </c>
      <c r="N426" s="161">
        <f t="shared" si="54"/>
        <v>3.55</v>
      </c>
      <c r="O426" s="161">
        <f t="shared" si="55"/>
        <v>3.6597938144330349</v>
      </c>
      <c r="P426" s="149">
        <f>IF(OR(M426=0,M426=3),loop_gain!$B$18,IF(Current_limit!M426=1,Current_limit!$B$12/(2*(Current_limit!N426-Helper_calcs!$B$15)),IF(OR(M426=2,M426=23),(Main!$B$18-Current_limit!O426)*Current_limit!O426/(Main!$B$18*loop_gain!$B$17*(Helper_calcs!$B$14-Helper_calcs!$B$15)),x)))</f>
        <v>1101134.0190849251</v>
      </c>
      <c r="Q426" s="161"/>
    </row>
    <row r="427" spans="1:17" x14ac:dyDescent="0.25">
      <c r="A427">
        <f t="shared" si="56"/>
        <v>4.8599999999999399</v>
      </c>
      <c r="B427">
        <f>Main!$B$19/A427</f>
        <v>1.0288065843621526</v>
      </c>
      <c r="D427" s="161">
        <f t="shared" si="49"/>
        <v>1.0288065843621526</v>
      </c>
      <c r="E427" s="161">
        <f>-B427*Main!$B$18-2*Main!$B$18*loop_gain!$B$17*loop_gain!$B$18</f>
        <v>-178.66567901234583</v>
      </c>
      <c r="F427" s="161">
        <f>2*Main!$B$18*loop_gain!$B$17*loop_gain!$B$18*Helper_calcs!$B$14*Current_limit!B427</f>
        <v>667.33333333334144</v>
      </c>
      <c r="G427" s="161">
        <f t="shared" si="51"/>
        <v>3.8190819830956069</v>
      </c>
      <c r="H427" s="161">
        <f>(Main!$B$18-Current_limit!G427)*Current_limit!G427/(Main!$B$18*loop_gain!$B$17*loop_gain!$B$18)</f>
        <v>0.37570462486221512</v>
      </c>
      <c r="I427" s="161">
        <f t="shared" si="52"/>
        <v>3.5242953751377768</v>
      </c>
      <c r="J427" s="161"/>
      <c r="K427" s="163">
        <f>IF(A427&gt;$B$15,IF(I427&gt;Helper_calcs!$B$15,23,3),0)</f>
        <v>23</v>
      </c>
      <c r="L427" s="162">
        <f t="shared" si="50"/>
        <v>2</v>
      </c>
      <c r="M427" s="162">
        <f t="shared" si="53"/>
        <v>2</v>
      </c>
      <c r="N427" s="161">
        <f t="shared" si="54"/>
        <v>3.55</v>
      </c>
      <c r="O427" s="161">
        <f t="shared" si="55"/>
        <v>3.6522633744856412</v>
      </c>
      <c r="P427" s="149">
        <f>IF(OR(M427=0,M427=3),loop_gain!$B$18,IF(Current_limit!M427=1,Current_limit!$B$12/(2*(Current_limit!N427-Helper_calcs!$B$15)),IF(OR(M427=2,M427=23),(Main!$B$18-Current_limit!O427)*Current_limit!O427/(Main!$B$18*loop_gain!$B$17*(Helper_calcs!$B$14-Helper_calcs!$B$15)),x)))</f>
        <v>1099860.4883556443</v>
      </c>
      <c r="Q427" s="161"/>
    </row>
    <row r="428" spans="1:17" x14ac:dyDescent="0.25">
      <c r="A428">
        <f t="shared" si="56"/>
        <v>4.8699999999999397</v>
      </c>
      <c r="B428">
        <f>Main!$B$19/A428</f>
        <v>1.0266940451745508</v>
      </c>
      <c r="D428" s="161">
        <f t="shared" si="49"/>
        <v>1.0266940451745508</v>
      </c>
      <c r="E428" s="161">
        <f>-B428*Main!$B$18-2*Main!$B$18*loop_gain!$B$17*loop_gain!$B$18</f>
        <v>-178.64032854209461</v>
      </c>
      <c r="F428" s="161">
        <f>2*Main!$B$18*loop_gain!$B$17*loop_gain!$B$18*Helper_calcs!$B$14*Current_limit!B428</f>
        <v>665.96303901438193</v>
      </c>
      <c r="G428" s="161">
        <f t="shared" si="51"/>
        <v>3.8114458921556995</v>
      </c>
      <c r="H428" s="161">
        <f>(Main!$B$18-Current_limit!G428)*Current_limit!G428/(Main!$B$18*loop_gain!$B$17*loop_gain!$B$18)</f>
        <v>0.37530340208078211</v>
      </c>
      <c r="I428" s="161">
        <f t="shared" si="52"/>
        <v>3.5246965979192142</v>
      </c>
      <c r="J428" s="161"/>
      <c r="K428" s="163">
        <f>IF(A428&gt;$B$15,IF(I428&gt;Helper_calcs!$B$15,23,3),0)</f>
        <v>23</v>
      </c>
      <c r="L428" s="162">
        <f t="shared" si="50"/>
        <v>2</v>
      </c>
      <c r="M428" s="162">
        <f t="shared" si="53"/>
        <v>2</v>
      </c>
      <c r="N428" s="161">
        <f t="shared" si="54"/>
        <v>3.55</v>
      </c>
      <c r="O428" s="161">
        <f t="shared" si="55"/>
        <v>3.6447638603696548</v>
      </c>
      <c r="P428" s="149">
        <f>IF(OR(M428=0,M428=3),loop_gain!$B$18,IF(Current_limit!M428=1,Current_limit!$B$12/(2*(Current_limit!N428-Helper_calcs!$B$15)),IF(OR(M428=2,M428=23),(Main!$B$18-Current_limit!O428)*Current_limit!O428/(Main!$B$18*loop_gain!$B$17*(Helper_calcs!$B$14-Helper_calcs!$B$15)),x)))</f>
        <v>1098588.1214494647</v>
      </c>
      <c r="Q428" s="161"/>
    </row>
    <row r="429" spans="1:17" x14ac:dyDescent="0.25">
      <c r="A429">
        <f t="shared" si="56"/>
        <v>4.8799999999999395</v>
      </c>
      <c r="B429">
        <f>Main!$B$19/A429</f>
        <v>1.024590163934439</v>
      </c>
      <c r="D429" s="161">
        <f t="shared" si="49"/>
        <v>1.024590163934439</v>
      </c>
      <c r="E429" s="161">
        <f>-B429*Main!$B$18-2*Main!$B$18*loop_gain!$B$17*loop_gain!$B$18</f>
        <v>-178.61508196721326</v>
      </c>
      <c r="F429" s="161">
        <f>2*Main!$B$18*loop_gain!$B$17*loop_gain!$B$18*Helper_calcs!$B$14*Current_limit!B429</f>
        <v>664.59836065574586</v>
      </c>
      <c r="G429" s="161">
        <f t="shared" si="51"/>
        <v>3.8038409716661872</v>
      </c>
      <c r="H429" s="161">
        <f>(Main!$B$18-Current_limit!G429)*Current_limit!G429/(Main!$B$18*loop_gain!$B$17*loop_gain!$B$18)</f>
        <v>0.37490242330769463</v>
      </c>
      <c r="I429" s="161">
        <f t="shared" si="52"/>
        <v>3.5250975766923052</v>
      </c>
      <c r="J429" s="161"/>
      <c r="K429" s="163">
        <f>IF(A429&gt;$B$15,IF(I429&gt;Helper_calcs!$B$15,23,3),0)</f>
        <v>23</v>
      </c>
      <c r="L429" s="162">
        <f t="shared" si="50"/>
        <v>2</v>
      </c>
      <c r="M429" s="162">
        <f t="shared" si="53"/>
        <v>2</v>
      </c>
      <c r="N429" s="161">
        <f t="shared" si="54"/>
        <v>3.55</v>
      </c>
      <c r="O429" s="161">
        <f t="shared" si="55"/>
        <v>3.6372950819672583</v>
      </c>
      <c r="P429" s="149">
        <f>IF(OR(M429=0,M429=3),loop_gain!$B$18,IF(Current_limit!M429=1,Current_limit!$B$12/(2*(Current_limit!N429-Helper_calcs!$B$15)),IF(OR(M429=2,M429=23),(Main!$B$18-Current_limit!O429)*Current_limit!O429/(Main!$B$18*loop_gain!$B$17*(Helper_calcs!$B$14-Helper_calcs!$B$15)),x)))</f>
        <v>1097316.9361581497</v>
      </c>
      <c r="Q429" s="161"/>
    </row>
    <row r="430" spans="1:17" x14ac:dyDescent="0.25">
      <c r="A430">
        <f t="shared" si="56"/>
        <v>4.8899999999999393</v>
      </c>
      <c r="B430">
        <f>Main!$B$19/A430</f>
        <v>1.022494887525575</v>
      </c>
      <c r="D430" s="161">
        <f t="shared" si="49"/>
        <v>1.022494887525575</v>
      </c>
      <c r="E430" s="161">
        <f>-B430*Main!$B$18-2*Main!$B$18*loop_gain!$B$17*loop_gain!$B$18</f>
        <v>-178.58993865030689</v>
      </c>
      <c r="F430" s="161">
        <f>2*Main!$B$18*loop_gain!$B$17*loop_gain!$B$18*Helper_calcs!$B$14*Current_limit!B430</f>
        <v>663.23926380368914</v>
      </c>
      <c r="G430" s="161">
        <f t="shared" si="51"/>
        <v>3.7962670269289425</v>
      </c>
      <c r="H430" s="161">
        <f>(Main!$B$18-Current_limit!G430)*Current_limit!G430/(Main!$B$18*loop_gain!$B$17*loop_gain!$B$18)</f>
        <v>0.37450169532707306</v>
      </c>
      <c r="I430" s="161">
        <f t="shared" si="52"/>
        <v>3.5254983046729231</v>
      </c>
      <c r="J430" s="161"/>
      <c r="K430" s="163">
        <f>IF(A430&gt;$B$15,IF(I430&gt;Helper_calcs!$B$15,23,3),0)</f>
        <v>23</v>
      </c>
      <c r="L430" s="162">
        <f t="shared" si="50"/>
        <v>2</v>
      </c>
      <c r="M430" s="162">
        <f t="shared" si="53"/>
        <v>2</v>
      </c>
      <c r="N430" s="161">
        <f t="shared" si="54"/>
        <v>3.55</v>
      </c>
      <c r="O430" s="161">
        <f t="shared" si="55"/>
        <v>3.6298568507157913</v>
      </c>
      <c r="P430" s="149">
        <f>IF(OR(M430=0,M430=3),loop_gain!$B$18,IF(Current_limit!M430=1,Current_limit!$B$12/(2*(Current_limit!N430-Helper_calcs!$B$15)),IF(OR(M430=2,M430=23),(Main!$B$18-Current_limit!O430)*Current_limit!O430/(Main!$B$18*loop_gain!$B$17*(Helper_calcs!$B$14-Helper_calcs!$B$15)),x)))</f>
        <v>1096046.9499242839</v>
      </c>
      <c r="Q430" s="161"/>
    </row>
    <row r="431" spans="1:17" x14ac:dyDescent="0.25">
      <c r="A431">
        <f t="shared" si="56"/>
        <v>4.8999999999999391</v>
      </c>
      <c r="B431">
        <f>Main!$B$19/A431</f>
        <v>1.0204081632653188</v>
      </c>
      <c r="D431" s="161">
        <f t="shared" si="49"/>
        <v>1.0204081632653188</v>
      </c>
      <c r="E431" s="161">
        <f>-B431*Main!$B$18-2*Main!$B$18*loop_gain!$B$17*loop_gain!$B$18</f>
        <v>-178.56489795918381</v>
      </c>
      <c r="F431" s="161">
        <f>2*Main!$B$18*loop_gain!$B$17*loop_gain!$B$18*Helper_calcs!$B$14*Current_limit!B431</f>
        <v>661.88571428572243</v>
      </c>
      <c r="G431" s="161">
        <f t="shared" si="51"/>
        <v>3.7887238648982415</v>
      </c>
      <c r="H431" s="161">
        <f>(Main!$B$18-Current_limit!G431)*Current_limit!G431/(Main!$B$18*loop_gain!$B$17*loop_gain!$B$18)</f>
        <v>0.37410122479953622</v>
      </c>
      <c r="I431" s="161">
        <f t="shared" si="52"/>
        <v>3.5258987752004627</v>
      </c>
      <c r="J431" s="161"/>
      <c r="K431" s="163">
        <f>IF(A431&gt;$B$15,IF(I431&gt;Helper_calcs!$B$15,23,3),0)</f>
        <v>23</v>
      </c>
      <c r="L431" s="162">
        <f t="shared" si="50"/>
        <v>2</v>
      </c>
      <c r="M431" s="162">
        <f t="shared" si="53"/>
        <v>2</v>
      </c>
      <c r="N431" s="161">
        <f t="shared" si="54"/>
        <v>3.55</v>
      </c>
      <c r="O431" s="161">
        <f t="shared" si="55"/>
        <v>3.6224489795918817</v>
      </c>
      <c r="P431" s="149">
        <f>IF(OR(M431=0,M431=3),loop_gain!$B$18,IF(Current_limit!M431=1,Current_limit!$B$12/(2*(Current_limit!N431-Helper_calcs!$B$15)),IF(OR(M431=2,M431=23),(Main!$B$18-Current_limit!O431)*Current_limit!O431/(Main!$B$18*loop_gain!$B$17*(Helper_calcs!$B$14-Helper_calcs!$B$15)),x)))</f>
        <v>1094778.1798469094</v>
      </c>
      <c r="Q431" s="161"/>
    </row>
    <row r="432" spans="1:17" x14ac:dyDescent="0.25">
      <c r="A432">
        <f t="shared" si="56"/>
        <v>4.9099999999999389</v>
      </c>
      <c r="B432">
        <f>Main!$B$19/A432</f>
        <v>1.0183299389002163</v>
      </c>
      <c r="D432" s="161">
        <f t="shared" si="49"/>
        <v>1.0183299389002163</v>
      </c>
      <c r="E432" s="161">
        <f>-B432*Main!$B$18-2*Main!$B$18*loop_gain!$B$17*loop_gain!$B$18</f>
        <v>-178.53995926680258</v>
      </c>
      <c r="F432" s="161">
        <f>2*Main!$B$18*loop_gain!$B$17*loop_gain!$B$18*Helper_calcs!$B$14*Current_limit!B432</f>
        <v>660.53767820774738</v>
      </c>
      <c r="G432" s="161">
        <f t="shared" si="51"/>
        <v>3.7812112941628855</v>
      </c>
      <c r="H432" s="161">
        <f>(Main!$B$18-Current_limit!G432)*Current_limit!G432/(Main!$B$18*loop_gain!$B$17*loop_gain!$B$18)</f>
        <v>0.3737010182641855</v>
      </c>
      <c r="I432" s="161">
        <f t="shared" si="52"/>
        <v>3.526298981735815</v>
      </c>
      <c r="J432" s="161"/>
      <c r="K432" s="163">
        <f>IF(A432&gt;$B$15,IF(I432&gt;Helper_calcs!$B$15,23,3),0)</f>
        <v>23</v>
      </c>
      <c r="L432" s="162">
        <f t="shared" si="50"/>
        <v>2</v>
      </c>
      <c r="M432" s="162">
        <f t="shared" si="53"/>
        <v>2</v>
      </c>
      <c r="N432" s="161">
        <f t="shared" si="54"/>
        <v>3.55</v>
      </c>
      <c r="O432" s="161">
        <f t="shared" si="55"/>
        <v>3.6150712830957676</v>
      </c>
      <c r="P432" s="149">
        <f>IF(OR(M432=0,M432=3),loop_gain!$B$18,IF(Current_limit!M432=1,Current_limit!$B$12/(2*(Current_limit!N432-Helper_calcs!$B$15)),IF(OR(M432=2,M432=23),(Main!$B$18-Current_limit!O432)*Current_limit!O432/(Main!$B$18*loop_gain!$B$17*(Helper_calcs!$B$14-Helper_calcs!$B$15)),x)))</f>
        <v>1093510.6426870688</v>
      </c>
      <c r="Q432" s="161"/>
    </row>
    <row r="433" spans="1:17" x14ac:dyDescent="0.25">
      <c r="A433">
        <f t="shared" si="56"/>
        <v>4.9199999999999386</v>
      </c>
      <c r="B433">
        <f>Main!$B$19/A433</f>
        <v>1.0162601626016388</v>
      </c>
      <c r="D433" s="161">
        <f t="shared" si="49"/>
        <v>1.0162601626016388</v>
      </c>
      <c r="E433" s="161">
        <f>-B433*Main!$B$18-2*Main!$B$18*loop_gain!$B$17*loop_gain!$B$18</f>
        <v>-178.51512195121967</v>
      </c>
      <c r="F433" s="161">
        <f>2*Main!$B$18*loop_gain!$B$17*loop_gain!$B$18*Helper_calcs!$B$14*Current_limit!B433</f>
        <v>659.19512195122763</v>
      </c>
      <c r="G433" s="161">
        <f t="shared" si="51"/>
        <v>3.7737291249286233</v>
      </c>
      <c r="H433" s="161">
        <f>(Main!$B$18-Current_limit!G433)*Current_limit!G433/(Main!$B$18*loop_gain!$B$17*loop_gain!$B$18)</f>
        <v>0.37330108214055946</v>
      </c>
      <c r="I433" s="161">
        <f t="shared" si="52"/>
        <v>3.5266989178594388</v>
      </c>
      <c r="J433" s="161"/>
      <c r="K433" s="163">
        <f>IF(A433&gt;$B$15,IF(I433&gt;Helper_calcs!$B$15,23,3),0)</f>
        <v>23</v>
      </c>
      <c r="L433" s="162">
        <f t="shared" si="50"/>
        <v>2</v>
      </c>
      <c r="M433" s="162">
        <f t="shared" si="53"/>
        <v>2</v>
      </c>
      <c r="N433" s="161">
        <f t="shared" si="54"/>
        <v>3.55</v>
      </c>
      <c r="O433" s="161">
        <f t="shared" si="55"/>
        <v>3.6077235772358174</v>
      </c>
      <c r="P433" s="149">
        <f>IF(OR(M433=0,M433=3),loop_gain!$B$18,IF(Current_limit!M433=1,Current_limit!$B$12/(2*(Current_limit!N433-Helper_calcs!$B$15)),IF(OR(M433=2,M433=23),(Main!$B$18-Current_limit!O433)*Current_limit!O433/(Main!$B$18*loop_gain!$B$17*(Helper_calcs!$B$14-Helper_calcs!$B$15)),x)))</f>
        <v>1092244.3548732547</v>
      </c>
      <c r="Q433" s="161"/>
    </row>
    <row r="434" spans="1:17" x14ac:dyDescent="0.25">
      <c r="A434">
        <f t="shared" si="56"/>
        <v>4.9299999999999384</v>
      </c>
      <c r="B434">
        <f>Main!$B$19/A434</f>
        <v>1.0141987829614731</v>
      </c>
      <c r="D434" s="161">
        <f t="shared" si="49"/>
        <v>1.0141987829614731</v>
      </c>
      <c r="E434" s="161">
        <f>-B434*Main!$B$18-2*Main!$B$18*loop_gain!$B$17*loop_gain!$B$18</f>
        <v>-178.49038539553766</v>
      </c>
      <c r="F434" s="161">
        <f>2*Main!$B$18*loop_gain!$B$17*loop_gain!$B$18*Helper_calcs!$B$14*Current_limit!B434</f>
        <v>657.85801217039352</v>
      </c>
      <c r="G434" s="161">
        <f t="shared" si="51"/>
        <v>3.7662771690007832</v>
      </c>
      <c r="H434" s="161">
        <f>(Main!$B$18-Current_limit!G434)*Current_limit!G434/(Main!$B$18*loop_gain!$B$17*loop_gain!$B$18)</f>
        <v>0.37290142273055366</v>
      </c>
      <c r="I434" s="161">
        <f t="shared" si="52"/>
        <v>3.5270985772694492</v>
      </c>
      <c r="J434" s="161"/>
      <c r="K434" s="163">
        <f>IF(A434&gt;$B$15,IF(I434&gt;Helper_calcs!$B$15,23,3),0)</f>
        <v>23</v>
      </c>
      <c r="L434" s="162">
        <f t="shared" si="50"/>
        <v>2</v>
      </c>
      <c r="M434" s="162">
        <f t="shared" si="53"/>
        <v>2</v>
      </c>
      <c r="N434" s="161">
        <f t="shared" si="54"/>
        <v>3.55</v>
      </c>
      <c r="O434" s="161">
        <f t="shared" si="55"/>
        <v>3.6004056795132295</v>
      </c>
      <c r="P434" s="149">
        <f>IF(OR(M434=0,M434=3),loop_gain!$B$18,IF(Current_limit!M434=1,Current_limit!$B$12/(2*(Current_limit!N434-Helper_calcs!$B$15)),IF(OR(M434=2,M434=23),(Main!$B$18-Current_limit!O434)*Current_limit!O434/(Main!$B$18*loop_gain!$B$17*(Helper_calcs!$B$14-Helper_calcs!$B$15)),x)))</f>
        <v>1090979.3325067693</v>
      </c>
      <c r="Q434" s="161"/>
    </row>
    <row r="435" spans="1:17" x14ac:dyDescent="0.25">
      <c r="A435">
        <f t="shared" si="56"/>
        <v>4.9399999999999382</v>
      </c>
      <c r="B435">
        <f>Main!$B$19/A435</f>
        <v>1.0121457489878669</v>
      </c>
      <c r="D435" s="161">
        <f t="shared" si="49"/>
        <v>1.0121457489878669</v>
      </c>
      <c r="E435" s="161">
        <f>-B435*Main!$B$18-2*Main!$B$18*loop_gain!$B$17*loop_gain!$B$18</f>
        <v>-178.4657489878544</v>
      </c>
      <c r="F435" s="161">
        <f>2*Main!$B$18*loop_gain!$B$17*loop_gain!$B$18*Helper_calcs!$B$14*Current_limit!B435</f>
        <v>656.52631578948183</v>
      </c>
      <c r="G435" s="161">
        <f t="shared" si="51"/>
        <v>3.7588552397671045</v>
      </c>
      <c r="H435" s="161">
        <f>(Main!$B$18-Current_limit!G435)*Current_limit!G435/(Main!$B$18*loop_gain!$B$17*loop_gain!$B$18)</f>
        <v>0.37250204622030586</v>
      </c>
      <c r="I435" s="161">
        <f t="shared" si="52"/>
        <v>3.5274979537797</v>
      </c>
      <c r="J435" s="161"/>
      <c r="K435" s="163">
        <f>IF(A435&gt;$B$15,IF(I435&gt;Helper_calcs!$B$15,23,3),0)</f>
        <v>23</v>
      </c>
      <c r="L435" s="162">
        <f t="shared" si="50"/>
        <v>2</v>
      </c>
      <c r="M435" s="162">
        <f t="shared" si="53"/>
        <v>2</v>
      </c>
      <c r="N435" s="161">
        <f t="shared" si="54"/>
        <v>3.55</v>
      </c>
      <c r="O435" s="161">
        <f t="shared" si="55"/>
        <v>3.5931174089069273</v>
      </c>
      <c r="P435" s="149">
        <f>IF(OR(M435=0,M435=3),loop_gain!$B$18,IF(Current_limit!M435=1,Current_limit!$B$12/(2*(Current_limit!N435-Helper_calcs!$B$15)),IF(OR(M435=2,M435=23),(Main!$B$18-Current_limit!O435)*Current_limit!O435/(Main!$B$18*loop_gain!$B$17*(Helper_calcs!$B$14-Helper_calcs!$B$15)),x)))</f>
        <v>1089715.5913669954</v>
      </c>
      <c r="Q435" s="161"/>
    </row>
    <row r="436" spans="1:17" x14ac:dyDescent="0.25">
      <c r="A436">
        <f t="shared" si="56"/>
        <v>4.949999999999938</v>
      </c>
      <c r="B436">
        <f>Main!$B$19/A436</f>
        <v>1.0101010101010228</v>
      </c>
      <c r="D436" s="161">
        <f t="shared" si="49"/>
        <v>1.0101010101010228</v>
      </c>
      <c r="E436" s="161">
        <f>-B436*Main!$B$18-2*Main!$B$18*loop_gain!$B$17*loop_gain!$B$18</f>
        <v>-178.44121212121226</v>
      </c>
      <c r="F436" s="161">
        <f>2*Main!$B$18*loop_gain!$B$17*loop_gain!$B$18*Helper_calcs!$B$14*Current_limit!B436</f>
        <v>655.20000000000812</v>
      </c>
      <c r="G436" s="161">
        <f t="shared" si="51"/>
        <v>3.7514631521808299</v>
      </c>
      <c r="H436" s="161">
        <f>(Main!$B$18-Current_limit!G436)*Current_limit!G436/(Main!$B$18*loop_gain!$B$17*loop_gain!$B$18)</f>
        <v>0.3721029586820519</v>
      </c>
      <c r="I436" s="161">
        <f t="shared" si="52"/>
        <v>3.5278970413179489</v>
      </c>
      <c r="J436" s="161"/>
      <c r="K436" s="163">
        <f>IF(A436&gt;$B$15,IF(I436&gt;Helper_calcs!$B$15,23,3),0)</f>
        <v>23</v>
      </c>
      <c r="L436" s="162">
        <f t="shared" si="50"/>
        <v>2</v>
      </c>
      <c r="M436" s="162">
        <f t="shared" si="53"/>
        <v>2</v>
      </c>
      <c r="N436" s="161">
        <f t="shared" si="54"/>
        <v>3.55</v>
      </c>
      <c r="O436" s="161">
        <f t="shared" si="55"/>
        <v>3.5858585858586309</v>
      </c>
      <c r="P436" s="149">
        <f>IF(OR(M436=0,M436=3),loop_gain!$B$18,IF(Current_limit!M436=1,Current_limit!$B$12/(2*(Current_limit!N436-Helper_calcs!$B$15)),IF(OR(M436=2,M436=23),(Main!$B$18-Current_limit!O436)*Current_limit!O436/(Main!$B$18*loop_gain!$B$17*(Helper_calcs!$B$14-Helper_calcs!$B$15)),x)))</f>
        <v>1088453.1469165774</v>
      </c>
      <c r="Q436" s="161"/>
    </row>
    <row r="437" spans="1:17" x14ac:dyDescent="0.25">
      <c r="A437">
        <f t="shared" si="56"/>
        <v>4.9599999999999378</v>
      </c>
      <c r="B437">
        <f>Main!$B$19/A437</f>
        <v>1.0080645161290449</v>
      </c>
      <c r="D437" s="161">
        <f t="shared" si="49"/>
        <v>1.0080645161290449</v>
      </c>
      <c r="E437" s="161">
        <f>-B437*Main!$B$18-2*Main!$B$18*loop_gain!$B$17*loop_gain!$B$18</f>
        <v>-178.41677419354852</v>
      </c>
      <c r="F437" s="161">
        <f>2*Main!$B$18*loop_gain!$B$17*loop_gain!$B$18*Helper_calcs!$B$14*Current_limit!B437</f>
        <v>653.87903225807258</v>
      </c>
      <c r="G437" s="161">
        <f t="shared" si="51"/>
        <v>3.7441007227440219</v>
      </c>
      <c r="H437" s="161">
        <f>(Main!$B$18-Current_limit!G437)*Current_limit!G437/(Main!$B$18*loop_gain!$B$17*loop_gain!$B$18)</f>
        <v>0.37170416607594942</v>
      </c>
      <c r="I437" s="161">
        <f t="shared" si="52"/>
        <v>3.5282958339240484</v>
      </c>
      <c r="J437" s="161"/>
      <c r="K437" s="163">
        <f>IF(A437&gt;$B$15,IF(I437&gt;Helper_calcs!$B$15,23,3),0)</f>
        <v>23</v>
      </c>
      <c r="L437" s="162">
        <f t="shared" si="50"/>
        <v>2</v>
      </c>
      <c r="M437" s="162">
        <f t="shared" si="53"/>
        <v>2</v>
      </c>
      <c r="N437" s="161">
        <f t="shared" si="54"/>
        <v>3.55</v>
      </c>
      <c r="O437" s="161">
        <f t="shared" si="55"/>
        <v>3.5786290322581094</v>
      </c>
      <c r="P437" s="149">
        <f>IF(OR(M437=0,M437=3),loop_gain!$B$18,IF(Current_limit!M437=1,Current_limit!$B$12/(2*(Current_limit!N437-Helper_calcs!$B$15)),IF(OR(M437=2,M437=23),(Main!$B$18-Current_limit!O437)*Current_limit!O437/(Main!$B$18*loop_gain!$B$17*(Helper_calcs!$B$14-Helper_calcs!$B$15)),x)))</f>
        <v>1087192.0143065192</v>
      </c>
      <c r="Q437" s="161"/>
    </row>
    <row r="438" spans="1:17" x14ac:dyDescent="0.25">
      <c r="A438">
        <f t="shared" si="56"/>
        <v>4.9699999999999376</v>
      </c>
      <c r="B438">
        <f>Main!$B$19/A438</f>
        <v>1.0060362173038355</v>
      </c>
      <c r="D438" s="161">
        <f t="shared" si="49"/>
        <v>1.0060362173038355</v>
      </c>
      <c r="E438" s="161">
        <f>-B438*Main!$B$18-2*Main!$B$18*loop_gain!$B$17*loop_gain!$B$18</f>
        <v>-178.39243460764601</v>
      </c>
      <c r="F438" s="161">
        <f>2*Main!$B$18*loop_gain!$B$17*loop_gain!$B$18*Helper_calcs!$B$14*Current_limit!B438</f>
        <v>652.56338028169819</v>
      </c>
      <c r="G438" s="161">
        <f t="shared" si="51"/>
        <v>3.7367677694910499</v>
      </c>
      <c r="H438" s="161">
        <f>(Main!$B$18-Current_limit!G438)*Current_limit!G438/(Main!$B$18*loop_gain!$B$17*loop_gain!$B$18)</f>
        <v>0.37130567425186972</v>
      </c>
      <c r="I438" s="161">
        <f t="shared" si="52"/>
        <v>3.528694325748122</v>
      </c>
      <c r="J438" s="161"/>
      <c r="K438" s="163">
        <f>IF(A438&gt;$B$15,IF(I438&gt;Helper_calcs!$B$15,23,3),0)</f>
        <v>23</v>
      </c>
      <c r="L438" s="162">
        <f t="shared" si="50"/>
        <v>2</v>
      </c>
      <c r="M438" s="162">
        <f t="shared" si="53"/>
        <v>2</v>
      </c>
      <c r="N438" s="161">
        <f t="shared" si="54"/>
        <v>3.55</v>
      </c>
      <c r="O438" s="161">
        <f t="shared" si="55"/>
        <v>3.571428571428616</v>
      </c>
      <c r="P438" s="149">
        <f>IF(OR(M438=0,M438=3),loop_gain!$B$18,IF(Current_limit!M438=1,Current_limit!$B$12/(2*(Current_limit!N438-Helper_calcs!$B$15)),IF(OR(M438=2,M438=23),(Main!$B$18-Current_limit!O438)*Current_limit!O438/(Main!$B$18*loop_gain!$B$17*(Helper_calcs!$B$14-Helper_calcs!$B$15)),x)))</f>
        <v>1085932.2083811963</v>
      </c>
      <c r="Q438" s="161"/>
    </row>
    <row r="439" spans="1:17" x14ac:dyDescent="0.25">
      <c r="A439">
        <f t="shared" si="56"/>
        <v>4.9799999999999374</v>
      </c>
      <c r="B439">
        <f>Main!$B$19/A439</f>
        <v>1.0040160642570408</v>
      </c>
      <c r="D439" s="161">
        <f t="shared" si="49"/>
        <v>1.0040160642570408</v>
      </c>
      <c r="E439" s="161">
        <f>-B439*Main!$B$18-2*Main!$B$18*loop_gain!$B$17*loop_gain!$B$18</f>
        <v>-178.36819277108449</v>
      </c>
      <c r="F439" s="161">
        <f>2*Main!$B$18*loop_gain!$B$17*loop_gain!$B$18*Helper_calcs!$B$14*Current_limit!B439</f>
        <v>651.25301204820096</v>
      </c>
      <c r="G439" s="161">
        <f t="shared" si="51"/>
        <v>3.7294641119723582</v>
      </c>
      <c r="H439" s="161">
        <f>(Main!$B$18-Current_limit!G439)*Current_limit!G439/(Main!$B$18*loop_gain!$B$17*loop_gain!$B$18)</f>
        <v>0.37090748895116071</v>
      </c>
      <c r="I439" s="161">
        <f t="shared" si="52"/>
        <v>3.5290925110488414</v>
      </c>
      <c r="J439" s="161"/>
      <c r="K439" s="163">
        <f>IF(A439&gt;$B$15,IF(I439&gt;Helper_calcs!$B$15,23,3),0)</f>
        <v>23</v>
      </c>
      <c r="L439" s="162">
        <f t="shared" si="50"/>
        <v>2</v>
      </c>
      <c r="M439" s="162">
        <f t="shared" si="53"/>
        <v>2</v>
      </c>
      <c r="N439" s="161">
        <f t="shared" si="54"/>
        <v>3.55</v>
      </c>
      <c r="O439" s="161">
        <f t="shared" si="55"/>
        <v>3.5642570281124946</v>
      </c>
      <c r="P439" s="149">
        <f>IF(OR(M439=0,M439=3),loop_gain!$B$18,IF(Current_limit!M439=1,Current_limit!$B$12/(2*(Current_limit!N439-Helper_calcs!$B$15)),IF(OR(M439=2,M439=23),(Main!$B$18-Current_limit!O439)*Current_limit!O439/(Main!$B$18*loop_gain!$B$17*(Helper_calcs!$B$14-Helper_calcs!$B$15)),x)))</f>
        <v>1084673.7436832839</v>
      </c>
      <c r="Q439" s="161"/>
    </row>
    <row r="440" spans="1:17" x14ac:dyDescent="0.25">
      <c r="A440">
        <f t="shared" si="56"/>
        <v>4.9899999999999372</v>
      </c>
      <c r="B440">
        <f>Main!$B$19/A440</f>
        <v>1.0020040080160446</v>
      </c>
      <c r="D440" s="161">
        <f t="shared" si="49"/>
        <v>1.0020040080160446</v>
      </c>
      <c r="E440" s="161">
        <f>-B440*Main!$B$18-2*Main!$B$18*loop_gain!$B$17*loop_gain!$B$18</f>
        <v>-178.34404809619252</v>
      </c>
      <c r="F440" s="161">
        <f>2*Main!$B$18*loop_gain!$B$17*loop_gain!$B$18*Helper_calcs!$B$14*Current_limit!B440</f>
        <v>649.94789579159124</v>
      </c>
      <c r="G440" s="161">
        <f t="shared" si="51"/>
        <v>3.7221895712383413</v>
      </c>
      <c r="H440" s="161">
        <f>(Main!$B$18-Current_limit!G440)*Current_limit!G440/(Main!$B$18*loop_gain!$B$17*loop_gain!$B$18)</f>
        <v>0.37050961580837694</v>
      </c>
      <c r="I440" s="161">
        <f t="shared" si="52"/>
        <v>3.5294903841916296</v>
      </c>
      <c r="J440" s="161"/>
      <c r="K440" s="163">
        <f>IF(A440&gt;$B$15,IF(I440&gt;Helper_calcs!$B$15,23,3),0)</f>
        <v>23</v>
      </c>
      <c r="L440" s="162">
        <f t="shared" si="50"/>
        <v>2</v>
      </c>
      <c r="M440" s="162">
        <f t="shared" si="53"/>
        <v>2</v>
      </c>
      <c r="N440" s="161">
        <f t="shared" si="54"/>
        <v>3.55</v>
      </c>
      <c r="O440" s="161">
        <f t="shared" si="55"/>
        <v>3.5571142284569581</v>
      </c>
      <c r="P440" s="149">
        <f>IF(OR(M440=0,M440=3),loop_gain!$B$18,IF(Current_limit!M440=1,Current_limit!$B$12/(2*(Current_limit!N440-Helper_calcs!$B$15)),IF(OR(M440=2,M440=23),(Main!$B$18-Current_limit!O440)*Current_limit!O440/(Main!$B$18*loop_gain!$B$17*(Helper_calcs!$B$14-Helper_calcs!$B$15)),x)))</f>
        <v>1083416.6344586064</v>
      </c>
      <c r="Q440" s="161"/>
    </row>
    <row r="441" spans="1:17" x14ac:dyDescent="0.25">
      <c r="A441">
        <f t="shared" si="56"/>
        <v>4.9999999999999369</v>
      </c>
      <c r="B441">
        <f>Main!$B$19/A441</f>
        <v>1.0000000000000127</v>
      </c>
      <c r="D441" s="161">
        <f t="shared" si="49"/>
        <v>1.0000000000000127</v>
      </c>
      <c r="E441" s="161">
        <f>-B441*Main!$B$18-2*Main!$B$18*loop_gain!$B$17*loop_gain!$B$18</f>
        <v>-178.32000000000014</v>
      </c>
      <c r="F441" s="161">
        <f>2*Main!$B$18*loop_gain!$B$17*loop_gain!$B$18*Helper_calcs!$B$14*Current_limit!B441</f>
        <v>648.6480000000081</v>
      </c>
      <c r="G441" s="161">
        <f t="shared" si="51"/>
        <v>3.7149439698235609</v>
      </c>
      <c r="H441" s="161">
        <f>(Main!$B$18-Current_limit!G441)*Current_limit!G441/(Main!$B$18*loop_gain!$B$17*loop_gain!$B$18)</f>
        <v>0.37011206035298566</v>
      </c>
      <c r="I441" s="161">
        <f t="shared" si="52"/>
        <v>3.5298879396470211</v>
      </c>
      <c r="J441" s="161"/>
      <c r="K441" s="163">
        <f>IF(A441&gt;$B$15,IF(I441&gt;Helper_calcs!$B$15,23,3),0)</f>
        <v>23</v>
      </c>
      <c r="L441" s="162">
        <f t="shared" si="50"/>
        <v>2</v>
      </c>
      <c r="M441" s="162">
        <f t="shared" si="53"/>
        <v>2</v>
      </c>
      <c r="N441" s="161">
        <f t="shared" si="54"/>
        <v>3.55</v>
      </c>
      <c r="O441" s="161">
        <f t="shared" si="55"/>
        <v>3.5500000000000447</v>
      </c>
      <c r="P441" s="149">
        <f>IF(OR(M441=0,M441=3),loop_gain!$B$18,IF(Current_limit!M441=1,Current_limit!$B$12/(2*(Current_limit!N441-Helper_calcs!$B$15)),IF(OR(M441=2,M441=23),(Main!$B$18-Current_limit!O441)*Current_limit!O441/(Main!$B$18*loop_gain!$B$17*(Helper_calcs!$B$14-Helper_calcs!$B$15)),x)))</f>
        <v>1082160.8946609029</v>
      </c>
      <c r="Q441" s="161"/>
    </row>
    <row r="442" spans="1:17" x14ac:dyDescent="0.25">
      <c r="A442">
        <f t="shared" si="56"/>
        <v>5.0099999999999367</v>
      </c>
      <c r="B442">
        <f>Main!$B$19/A442</f>
        <v>0.99800399201598067</v>
      </c>
      <c r="D442" s="161">
        <f t="shared" si="49"/>
        <v>0.99800399201598067</v>
      </c>
      <c r="E442" s="161">
        <f>-B442*Main!$B$18-2*Main!$B$18*loop_gain!$B$17*loop_gain!$B$18</f>
        <v>-178.29604790419177</v>
      </c>
      <c r="F442" s="161">
        <f>2*Main!$B$18*loop_gain!$B$17*loop_gain!$B$18*Helper_calcs!$B$14*Current_limit!B442</f>
        <v>647.35329341318175</v>
      </c>
      <c r="G442" s="161">
        <f t="shared" si="51"/>
        <v>3.7077271317310618</v>
      </c>
      <c r="H442" s="161">
        <f>(Main!$B$18-Current_limit!G442)*Current_limit!G442/(Main!$B$18*loop_gain!$B$17*loop_gain!$B$18)</f>
        <v>0.36971482801104011</v>
      </c>
      <c r="I442" s="161">
        <f t="shared" si="52"/>
        <v>3.530285171988957</v>
      </c>
      <c r="J442" s="161"/>
      <c r="K442" s="163">
        <f>IF(A442&gt;$B$15,IF(I442&gt;Helper_calcs!$B$15,23,3),0)</f>
        <v>23</v>
      </c>
      <c r="L442" s="162">
        <f t="shared" si="50"/>
        <v>2</v>
      </c>
      <c r="M442" s="162">
        <f t="shared" si="53"/>
        <v>2</v>
      </c>
      <c r="N442" s="161">
        <f t="shared" si="54"/>
        <v>3.55</v>
      </c>
      <c r="O442" s="161">
        <f t="shared" si="55"/>
        <v>3.5429141716567312</v>
      </c>
      <c r="P442" s="149">
        <f>IF(OR(M442=0,M442=3),loop_gain!$B$18,IF(Current_limit!M442=1,Current_limit!$B$12/(2*(Current_limit!N442-Helper_calcs!$B$15)),IF(OR(M442=2,M442=23),(Main!$B$18-Current_limit!O442)*Current_limit!O442/(Main!$B$18*loop_gain!$B$17*(Helper_calcs!$B$14-Helper_calcs!$B$15)),x)))</f>
        <v>1080906.5379565181</v>
      </c>
      <c r="Q442" s="161"/>
    </row>
    <row r="443" spans="1:17" x14ac:dyDescent="0.25">
      <c r="A443">
        <f t="shared" si="56"/>
        <v>5.0199999999999365</v>
      </c>
      <c r="B443">
        <f>Main!$B$19/A443</f>
        <v>0.99601593625499263</v>
      </c>
      <c r="D443" s="161">
        <f t="shared" si="49"/>
        <v>0.99601593625499263</v>
      </c>
      <c r="E443" s="161">
        <f>-B443*Main!$B$18-2*Main!$B$18*loop_gain!$B$17*loop_gain!$B$18</f>
        <v>-178.27219123505989</v>
      </c>
      <c r="F443" s="161">
        <f>2*Main!$B$18*loop_gain!$B$17*loop_gain!$B$18*Helper_calcs!$B$14*Current_limit!B443</f>
        <v>646.06374501992832</v>
      </c>
      <c r="G443" s="161">
        <f t="shared" si="51"/>
        <v>3.7005388824169656</v>
      </c>
      <c r="H443" s="161">
        <f>(Main!$B$18-Current_limit!G443)*Current_limit!G443/(Main!$B$18*loop_gain!$B$17*loop_gain!$B$18)</f>
        <v>0.36931792410682762</v>
      </c>
      <c r="I443" s="161">
        <f t="shared" si="52"/>
        <v>3.5306820758931732</v>
      </c>
      <c r="J443" s="161"/>
      <c r="K443" s="163">
        <f>IF(A443&gt;$B$15,IF(I443&gt;Helper_calcs!$B$15,23,3),0)</f>
        <v>23</v>
      </c>
      <c r="L443" s="162">
        <f t="shared" si="50"/>
        <v>2</v>
      </c>
      <c r="M443" s="162">
        <f t="shared" si="53"/>
        <v>2</v>
      </c>
      <c r="N443" s="161">
        <f t="shared" si="54"/>
        <v>3.55</v>
      </c>
      <c r="O443" s="161">
        <f t="shared" si="55"/>
        <v>3.5358565737052237</v>
      </c>
      <c r="P443" s="149">
        <f>IF(OR(M443=0,M443=3),loop_gain!$B$18,IF(Current_limit!M443=1,Current_limit!$B$12/(2*(Current_limit!N443-Helper_calcs!$B$15)),IF(OR(M443=2,M443=23),(Main!$B$18-Current_limit!O443)*Current_limit!O443/(Main!$B$18*loop_gain!$B$17*(Helper_calcs!$B$14-Helper_calcs!$B$15)),x)))</f>
        <v>1079653.5777290133</v>
      </c>
      <c r="Q443" s="161"/>
    </row>
    <row r="444" spans="1:17" x14ac:dyDescent="0.25">
      <c r="A444">
        <f t="shared" si="56"/>
        <v>5.0299999999999363</v>
      </c>
      <c r="B444">
        <f>Main!$B$19/A444</f>
        <v>0.99403578528828296</v>
      </c>
      <c r="D444" s="161">
        <f t="shared" si="49"/>
        <v>0.99403578528828296</v>
      </c>
      <c r="E444" s="161">
        <f>-B444*Main!$B$18-2*Main!$B$18*loop_gain!$B$17*loop_gain!$B$18</f>
        <v>-178.24842942345938</v>
      </c>
      <c r="F444" s="161">
        <f>2*Main!$B$18*loop_gain!$B$17*loop_gain!$B$18*Helper_calcs!$B$14*Current_limit!B444</f>
        <v>644.77932405567412</v>
      </c>
      <c r="G444" s="161">
        <f t="shared" si="51"/>
        <v>3.6933790487751601</v>
      </c>
      <c r="H444" s="161">
        <f>(Main!$B$18-Current_limit!G444)*Current_limit!G444/(Main!$B$18*loop_gain!$B$17*loop_gain!$B$18)</f>
        <v>0.36892135386448549</v>
      </c>
      <c r="I444" s="161">
        <f t="shared" si="52"/>
        <v>3.5310786461355215</v>
      </c>
      <c r="J444" s="161"/>
      <c r="K444" s="163">
        <f>IF(A444&gt;$B$15,IF(I444&gt;Helper_calcs!$B$15,23,3),0)</f>
        <v>23</v>
      </c>
      <c r="L444" s="162">
        <f t="shared" si="50"/>
        <v>2</v>
      </c>
      <c r="M444" s="162">
        <f t="shared" si="53"/>
        <v>2</v>
      </c>
      <c r="N444" s="161">
        <f t="shared" si="54"/>
        <v>3.55</v>
      </c>
      <c r="O444" s="161">
        <f t="shared" si="55"/>
        <v>3.5288270377734041</v>
      </c>
      <c r="P444" s="149">
        <f>IF(OR(M444=0,M444=3),loop_gain!$B$18,IF(Current_limit!M444=1,Current_limit!$B$12/(2*(Current_limit!N444-Helper_calcs!$B$15)),IF(OR(M444=2,M444=23),(Main!$B$18-Current_limit!O444)*Current_limit!O444/(Main!$B$18*loop_gain!$B$17*(Helper_calcs!$B$14-Helper_calcs!$B$15)),x)))</f>
        <v>1078402.0270837029</v>
      </c>
      <c r="Q444" s="161"/>
    </row>
    <row r="445" spans="1:17" x14ac:dyDescent="0.25">
      <c r="A445">
        <f t="shared" si="56"/>
        <v>5.0399999999999361</v>
      </c>
      <c r="B445">
        <f>Main!$B$19/A445</f>
        <v>0.99206349206350464</v>
      </c>
      <c r="D445" s="161">
        <f t="shared" si="49"/>
        <v>0.99206349206350464</v>
      </c>
      <c r="E445" s="161">
        <f>-B445*Main!$B$18-2*Main!$B$18*loop_gain!$B$17*loop_gain!$B$18</f>
        <v>-178.22476190476206</v>
      </c>
      <c r="F445" s="161">
        <f>2*Main!$B$18*loop_gain!$B$17*loop_gain!$B$18*Helper_calcs!$B$14*Current_limit!B445</f>
        <v>643.50000000000807</v>
      </c>
      <c r="G445" s="161">
        <f t="shared" si="51"/>
        <v>3.6862474591222734</v>
      </c>
      <c r="H445" s="161">
        <f>(Main!$B$18-Current_limit!G445)*Current_limit!G445/(Main!$B$18*loop_gain!$B$17*loop_gain!$B$18)</f>
        <v>0.36852512240959429</v>
      </c>
      <c r="I445" s="161">
        <f t="shared" si="52"/>
        <v>3.5314748775904072</v>
      </c>
      <c r="J445" s="161"/>
      <c r="K445" s="163">
        <f>IF(A445&gt;$B$15,IF(I445&gt;Helper_calcs!$B$15,23,3),0)</f>
        <v>23</v>
      </c>
      <c r="L445" s="162">
        <f t="shared" si="50"/>
        <v>2</v>
      </c>
      <c r="M445" s="162">
        <f t="shared" si="53"/>
        <v>2</v>
      </c>
      <c r="N445" s="161">
        <f t="shared" si="54"/>
        <v>3.55</v>
      </c>
      <c r="O445" s="161">
        <f t="shared" si="55"/>
        <v>3.5218253968254412</v>
      </c>
      <c r="P445" s="149">
        <f>IF(OR(M445=0,M445=3),loop_gain!$B$18,IF(Current_limit!M445=1,Current_limit!$B$12/(2*(Current_limit!N445-Helper_calcs!$B$15)),IF(OR(M445=2,M445=23),(Main!$B$18-Current_limit!O445)*Current_limit!O445/(Main!$B$18*loop_gain!$B$17*(Helper_calcs!$B$14-Helper_calcs!$B$15)),x)))</f>
        <v>1077151.898852115</v>
      </c>
      <c r="Q445" s="161"/>
    </row>
    <row r="446" spans="1:17" x14ac:dyDescent="0.25">
      <c r="A446">
        <f t="shared" si="56"/>
        <v>5.0499999999999359</v>
      </c>
      <c r="B446">
        <f>Main!$B$19/A446</f>
        <v>0.99009900990100264</v>
      </c>
      <c r="D446" s="161">
        <f t="shared" si="49"/>
        <v>0.99009900990100264</v>
      </c>
      <c r="E446" s="161">
        <f>-B446*Main!$B$18-2*Main!$B$18*loop_gain!$B$17*loop_gain!$B$18</f>
        <v>-178.20118811881201</v>
      </c>
      <c r="F446" s="161">
        <f>2*Main!$B$18*loop_gain!$B$17*loop_gain!$B$18*Helper_calcs!$B$14*Current_limit!B446</f>
        <v>642.2257425742655</v>
      </c>
      <c r="G446" s="161">
        <f t="shared" si="51"/>
        <v>3.6791439431828499</v>
      </c>
      <c r="H446" s="161">
        <f>(Main!$B$18-Current_limit!G446)*Current_limit!G446/(Main!$B$18*loop_gain!$B$17*loop_gain!$B$18)</f>
        <v>0.36812923477074488</v>
      </c>
      <c r="I446" s="161">
        <f t="shared" si="52"/>
        <v>3.5318707652292591</v>
      </c>
      <c r="J446" s="161"/>
      <c r="K446" s="163">
        <f>IF(A446&gt;$B$15,IF(I446&gt;Helper_calcs!$B$15,23,3),0)</f>
        <v>23</v>
      </c>
      <c r="L446" s="162">
        <f t="shared" si="50"/>
        <v>2</v>
      </c>
      <c r="M446" s="162">
        <f t="shared" si="53"/>
        <v>2</v>
      </c>
      <c r="N446" s="161">
        <f t="shared" si="54"/>
        <v>3.55</v>
      </c>
      <c r="O446" s="161">
        <f t="shared" si="55"/>
        <v>3.5148514851485593</v>
      </c>
      <c r="P446" s="149">
        <f>IF(OR(M446=0,M446=3),loop_gain!$B$18,IF(Current_limit!M446=1,Current_limit!$B$12/(2*(Current_limit!N446-Helper_calcs!$B$15)),IF(OR(M446=2,M446=23),(Main!$B$18-Current_limit!O446)*Current_limit!O446/(Main!$B$18*loop_gain!$B$17*(Helper_calcs!$B$14-Helper_calcs!$B$15)),x)))</f>
        <v>1075903.2055963813</v>
      </c>
      <c r="Q446" s="161"/>
    </row>
    <row r="447" spans="1:17" x14ac:dyDescent="0.25">
      <c r="A447">
        <f t="shared" si="56"/>
        <v>5.0599999999999357</v>
      </c>
      <c r="B447">
        <f>Main!$B$19/A447</f>
        <v>0.98814229249013119</v>
      </c>
      <c r="D447" s="161">
        <f t="shared" si="49"/>
        <v>0.98814229249013119</v>
      </c>
      <c r="E447" s="161">
        <f>-B447*Main!$B$18-2*Main!$B$18*loop_gain!$B$17*loop_gain!$B$18</f>
        <v>-178.17770750988157</v>
      </c>
      <c r="F447" s="161">
        <f>2*Main!$B$18*loop_gain!$B$17*loop_gain!$B$18*Helper_calcs!$B$14*Current_limit!B447</f>
        <v>640.95652173913857</v>
      </c>
      <c r="G447" s="161">
        <f t="shared" si="51"/>
        <v>3.6720683320746055</v>
      </c>
      <c r="H447" s="161">
        <f>(Main!$B$18-Current_limit!G447)*Current_limit!G447/(Main!$B$18*loop_gain!$B$17*loop_gain!$B$18)</f>
        <v>0.36773369588107374</v>
      </c>
      <c r="I447" s="161">
        <f t="shared" si="52"/>
        <v>3.5322663041189162</v>
      </c>
      <c r="J447" s="161"/>
      <c r="K447" s="163">
        <f>IF(A447&gt;$B$15,IF(I447&gt;Helper_calcs!$B$15,23,3),0)</f>
        <v>23</v>
      </c>
      <c r="L447" s="162">
        <f t="shared" si="50"/>
        <v>2</v>
      </c>
      <c r="M447" s="162">
        <f t="shared" si="53"/>
        <v>2</v>
      </c>
      <c r="N447" s="161">
        <f t="shared" si="54"/>
        <v>3.55</v>
      </c>
      <c r="O447" s="161">
        <f t="shared" si="55"/>
        <v>3.5079051383399658</v>
      </c>
      <c r="P447" s="149">
        <f>IF(OR(M447=0,M447=3),loop_gain!$B$18,IF(Current_limit!M447=1,Current_limit!$B$12/(2*(Current_limit!N447-Helper_calcs!$B$15)),IF(OR(M447=2,M447=23),(Main!$B$18-Current_limit!O447)*Current_limit!O447/(Main!$B$18*loop_gain!$B$17*(Helper_calcs!$B$14-Helper_calcs!$B$15)),x)))</f>
        <v>1074655.9596135521</v>
      </c>
      <c r="Q447" s="161"/>
    </row>
    <row r="448" spans="1:17" x14ac:dyDescent="0.25">
      <c r="A448">
        <f t="shared" si="56"/>
        <v>5.0699999999999354</v>
      </c>
      <c r="B448">
        <f>Main!$B$19/A448</f>
        <v>0.98619329388561416</v>
      </c>
      <c r="D448" s="161">
        <f t="shared" si="49"/>
        <v>0.98619329388561416</v>
      </c>
      <c r="E448" s="161">
        <f>-B448*Main!$B$18-2*Main!$B$18*loop_gain!$B$17*loop_gain!$B$18</f>
        <v>-178.15431952662738</v>
      </c>
      <c r="F448" s="161">
        <f>2*Main!$B$18*loop_gain!$B$17*loop_gain!$B$18*Helper_calcs!$B$14*Current_limit!B448</f>
        <v>639.69230769231581</v>
      </c>
      <c r="G448" s="161">
        <f t="shared" si="51"/>
        <v>3.6650204582940398</v>
      </c>
      <c r="H448" s="161">
        <f>(Main!$B$18-Current_limit!G448)*Current_limit!G448/(Main!$B$18*loop_gain!$B$17*loop_gain!$B$18)</f>
        <v>0.36733851057978145</v>
      </c>
      <c r="I448" s="161">
        <f t="shared" si="52"/>
        <v>3.5326614894202182</v>
      </c>
      <c r="J448" s="161"/>
      <c r="K448" s="163">
        <f>IF(A448&gt;$B$15,IF(I448&gt;Helper_calcs!$B$15,23,3),0)</f>
        <v>23</v>
      </c>
      <c r="L448" s="162">
        <f t="shared" si="50"/>
        <v>2</v>
      </c>
      <c r="M448" s="162">
        <f t="shared" si="53"/>
        <v>2</v>
      </c>
      <c r="N448" s="161">
        <f t="shared" si="54"/>
        <v>3.55</v>
      </c>
      <c r="O448" s="161">
        <f t="shared" si="55"/>
        <v>3.5009861932939299</v>
      </c>
      <c r="P448" s="149">
        <f>IF(OR(M448=0,M448=3),loop_gain!$B$18,IF(Current_limit!M448=1,Current_limit!$B$12/(2*(Current_limit!N448-Helper_calcs!$B$15)),IF(OR(M448=2,M448=23),(Main!$B$18-Current_limit!O448)*Current_limit!O448/(Main!$B$18*loop_gain!$B$17*(Helper_calcs!$B$14-Helper_calcs!$B$15)),x)))</f>
        <v>1073410.172939843</v>
      </c>
      <c r="Q448" s="161"/>
    </row>
    <row r="449" spans="1:17" x14ac:dyDescent="0.25">
      <c r="A449">
        <f t="shared" si="56"/>
        <v>5.0799999999999352</v>
      </c>
      <c r="B449">
        <f>Main!$B$19/A449</f>
        <v>0.98425196850394958</v>
      </c>
      <c r="D449" s="161">
        <f t="shared" si="49"/>
        <v>0.98425196850394958</v>
      </c>
      <c r="E449" s="161">
        <f>-B449*Main!$B$18-2*Main!$B$18*loop_gain!$B$17*loop_gain!$B$18</f>
        <v>-178.13102362204739</v>
      </c>
      <c r="F449" s="161">
        <f>2*Main!$B$18*loop_gain!$B$17*loop_gain!$B$18*Helper_calcs!$B$14*Current_limit!B449</f>
        <v>638.43307086614982</v>
      </c>
      <c r="G449" s="161">
        <f t="shared" si="51"/>
        <v>3.6580001557020014</v>
      </c>
      <c r="H449" s="161">
        <f>(Main!$B$18-Current_limit!G449)*Current_limit!G449/(Main!$B$18*loop_gain!$B$17*loop_gain!$B$18)</f>
        <v>0.36694368361361412</v>
      </c>
      <c r="I449" s="161">
        <f t="shared" si="52"/>
        <v>3.5330563163863791</v>
      </c>
      <c r="J449" s="161"/>
      <c r="K449" s="163">
        <f>IF(A449&gt;$B$15,IF(I449&gt;Helper_calcs!$B$15,23,3),0)</f>
        <v>23</v>
      </c>
      <c r="L449" s="162">
        <f t="shared" si="50"/>
        <v>2</v>
      </c>
      <c r="M449" s="162">
        <f t="shared" si="53"/>
        <v>2</v>
      </c>
      <c r="N449" s="161">
        <f t="shared" si="54"/>
        <v>3.55</v>
      </c>
      <c r="O449" s="161">
        <f t="shared" si="55"/>
        <v>3.4940944881890208</v>
      </c>
      <c r="P449" s="149">
        <f>IF(OR(M449=0,M449=3),loop_gain!$B$18,IF(Current_limit!M449=1,Current_limit!$B$12/(2*(Current_limit!N449-Helper_calcs!$B$15)),IF(OR(M449=2,M449=23),(Main!$B$18-Current_limit!O449)*Current_limit!O449/(Main!$B$18*loop_gain!$B$17*(Helper_calcs!$B$14-Helper_calcs!$B$15)),x)))</f>
        <v>1072165.8573548114</v>
      </c>
      <c r="Q449" s="161"/>
    </row>
    <row r="450" spans="1:17" x14ac:dyDescent="0.25">
      <c r="A450">
        <f t="shared" si="56"/>
        <v>5.089999999999935</v>
      </c>
      <c r="B450">
        <f>Main!$B$19/A450</f>
        <v>0.98231827111985537</v>
      </c>
      <c r="D450" s="161">
        <f t="shared" si="49"/>
        <v>0.98231827111985537</v>
      </c>
      <c r="E450" s="161">
        <f>-B450*Main!$B$18-2*Main!$B$18*loop_gain!$B$17*loop_gain!$B$18</f>
        <v>-178.10781925343827</v>
      </c>
      <c r="F450" s="161">
        <f>2*Main!$B$18*loop_gain!$B$17*loop_gain!$B$18*Helper_calcs!$B$14*Current_limit!B450</f>
        <v>637.17878192535181</v>
      </c>
      <c r="G450" s="161">
        <f t="shared" si="51"/>
        <v>3.6510072595096976</v>
      </c>
      <c r="H450" s="161">
        <f>(Main!$B$18-Current_limit!G450)*Current_limit!G450/(Main!$B$18*loop_gain!$B$17*loop_gain!$B$18)</f>
        <v>0.36654921963833409</v>
      </c>
      <c r="I450" s="161">
        <f t="shared" si="52"/>
        <v>3.5334507803616577</v>
      </c>
      <c r="J450" s="161"/>
      <c r="K450" s="163">
        <f>IF(A450&gt;$B$15,IF(I450&gt;Helper_calcs!$B$15,23,3),0)</f>
        <v>23</v>
      </c>
      <c r="L450" s="162">
        <f t="shared" si="50"/>
        <v>2</v>
      </c>
      <c r="M450" s="162">
        <f t="shared" si="53"/>
        <v>2</v>
      </c>
      <c r="N450" s="161">
        <f t="shared" si="54"/>
        <v>3.55</v>
      </c>
      <c r="O450" s="161">
        <f t="shared" si="55"/>
        <v>3.4872298624754863</v>
      </c>
      <c r="P450" s="149">
        <f>IF(OR(M450=0,M450=3),loop_gain!$B$18,IF(Current_limit!M450=1,Current_limit!$B$12/(2*(Current_limit!N450-Helper_calcs!$B$15)),IF(OR(M450=2,M450=23),(Main!$B$18-Current_limit!O450)*Current_limit!O450/(Main!$B$18*loop_gain!$B$17*(Helper_calcs!$B$14-Helper_calcs!$B$15)),x)))</f>
        <v>1070923.0243854637</v>
      </c>
      <c r="Q450" s="161"/>
    </row>
    <row r="451" spans="1:17" x14ac:dyDescent="0.25">
      <c r="A451">
        <f t="shared" si="56"/>
        <v>5.0999999999999348</v>
      </c>
      <c r="B451">
        <f>Main!$B$19/A451</f>
        <v>0.9803921568627576</v>
      </c>
      <c r="D451" s="161">
        <f t="shared" si="49"/>
        <v>0.9803921568627576</v>
      </c>
      <c r="E451" s="161">
        <f>-B451*Main!$B$18-2*Main!$B$18*loop_gain!$B$17*loop_gain!$B$18</f>
        <v>-178.08470588235309</v>
      </c>
      <c r="F451" s="161">
        <f>2*Main!$B$18*loop_gain!$B$17*loop_gain!$B$18*Helper_calcs!$B$14*Current_limit!B451</f>
        <v>635.9294117647139</v>
      </c>
      <c r="G451" s="161">
        <f t="shared" si="51"/>
        <v>3.6440416062646706</v>
      </c>
      <c r="H451" s="161">
        <f>(Main!$B$18-Current_limit!G451)*Current_limit!G451/(Main!$B$18*loop_gain!$B$17*loop_gain!$B$18)</f>
        <v>0.36615512322015453</v>
      </c>
      <c r="I451" s="161">
        <f t="shared" si="52"/>
        <v>3.5338448767798392</v>
      </c>
      <c r="J451" s="161"/>
      <c r="K451" s="163">
        <f>IF(A451&gt;$B$15,IF(I451&gt;Helper_calcs!$B$15,23,3),0)</f>
        <v>23</v>
      </c>
      <c r="L451" s="162">
        <f t="shared" si="50"/>
        <v>2</v>
      </c>
      <c r="M451" s="162">
        <f t="shared" si="53"/>
        <v>2</v>
      </c>
      <c r="N451" s="161">
        <f t="shared" si="54"/>
        <v>3.55</v>
      </c>
      <c r="O451" s="161">
        <f t="shared" si="55"/>
        <v>3.4803921568627891</v>
      </c>
      <c r="P451" s="149">
        <f>IF(OR(M451=0,M451=3),loop_gain!$B$18,IF(Current_limit!M451=1,Current_limit!$B$12/(2*(Current_limit!N451-Helper_calcs!$B$15)),IF(OR(M451=2,M451=23),(Main!$B$18-Current_limit!O451)*Current_limit!O451/(Main!$B$18*loop_gain!$B$17*(Helper_calcs!$B$14-Helper_calcs!$B$15)),x)))</f>
        <v>1069681.6853102981</v>
      </c>
      <c r="Q451" s="161"/>
    </row>
    <row r="452" spans="1:17" x14ac:dyDescent="0.25">
      <c r="A452">
        <f t="shared" si="56"/>
        <v>5.1099999999999346</v>
      </c>
      <c r="B452">
        <f>Main!$B$19/A452</f>
        <v>0.97847358121331973</v>
      </c>
      <c r="D452" s="161">
        <f t="shared" si="49"/>
        <v>0.97847358121331973</v>
      </c>
      <c r="E452" s="161">
        <f>-B452*Main!$B$18-2*Main!$B$18*loop_gain!$B$17*loop_gain!$B$18</f>
        <v>-178.06168297455983</v>
      </c>
      <c r="F452" s="161">
        <f>2*Main!$B$18*loop_gain!$B$17*loop_gain!$B$18*Helper_calcs!$B$14*Current_limit!B452</f>
        <v>634.68493150685731</v>
      </c>
      <c r="G452" s="161">
        <f t="shared" si="51"/>
        <v>3.6371030338370565</v>
      </c>
      <c r="H452" s="161">
        <f>(Main!$B$18-Current_limit!G452)*Current_limit!G452/(Main!$B$18*loop_gain!$B$17*loop_gain!$B$18)</f>
        <v>0.36576139883715675</v>
      </c>
      <c r="I452" s="161">
        <f t="shared" si="52"/>
        <v>3.5342386011628455</v>
      </c>
      <c r="J452" s="161"/>
      <c r="K452" s="163">
        <f>IF(A452&gt;$B$15,IF(I452&gt;Helper_calcs!$B$15,23,3),0)</f>
        <v>23</v>
      </c>
      <c r="L452" s="162">
        <f t="shared" si="50"/>
        <v>2</v>
      </c>
      <c r="M452" s="162">
        <f t="shared" si="53"/>
        <v>2</v>
      </c>
      <c r="N452" s="161">
        <f t="shared" si="54"/>
        <v>3.55</v>
      </c>
      <c r="O452" s="161">
        <f t="shared" si="55"/>
        <v>3.473581213307285</v>
      </c>
      <c r="P452" s="149">
        <f>IF(OR(M452=0,M452=3),loop_gain!$B$18,IF(Current_limit!M452=1,Current_limit!$B$12/(2*(Current_limit!N452-Helper_calcs!$B$15)),IF(OR(M452=2,M452=23),(Main!$B$18-Current_limit!O452)*Current_limit!O452/(Main!$B$18*loop_gain!$B$17*(Helper_calcs!$B$14-Helper_calcs!$B$15)),x)))</f>
        <v>1068441.8511632802</v>
      </c>
      <c r="Q452" s="161"/>
    </row>
    <row r="453" spans="1:17" x14ac:dyDescent="0.25">
      <c r="A453">
        <f t="shared" si="56"/>
        <v>5.1199999999999344</v>
      </c>
      <c r="B453">
        <f>Main!$B$19/A453</f>
        <v>0.97656250000001255</v>
      </c>
      <c r="D453" s="161">
        <f t="shared" si="49"/>
        <v>0.97656250000001255</v>
      </c>
      <c r="E453" s="161">
        <f>-B453*Main!$B$18-2*Main!$B$18*loop_gain!$B$17*loop_gain!$B$18</f>
        <v>-178.03875000000014</v>
      </c>
      <c r="F453" s="161">
        <f>2*Main!$B$18*loop_gain!$B$17*loop_gain!$B$18*Helper_calcs!$B$14*Current_limit!B453</f>
        <v>633.44531250000807</v>
      </c>
      <c r="G453" s="161">
        <f t="shared" si="51"/>
        <v>3.6301913814059632</v>
      </c>
      <c r="H453" s="161">
        <f>(Main!$B$18-Current_limit!G453)*Current_limit!G453/(Main!$B$18*loop_gain!$B$17*loop_gain!$B$18)</f>
        <v>0.36536805088068092</v>
      </c>
      <c r="I453" s="161">
        <f t="shared" si="52"/>
        <v>3.5346319491193179</v>
      </c>
      <c r="J453" s="161"/>
      <c r="K453" s="163">
        <f>IF(A453&gt;$B$15,IF(I453&gt;Helper_calcs!$B$15,23,3),0)</f>
        <v>23</v>
      </c>
      <c r="L453" s="162">
        <f t="shared" si="50"/>
        <v>2</v>
      </c>
      <c r="M453" s="162">
        <f t="shared" si="53"/>
        <v>2</v>
      </c>
      <c r="N453" s="161">
        <f t="shared" si="54"/>
        <v>3.55</v>
      </c>
      <c r="O453" s="161">
        <f t="shared" si="55"/>
        <v>3.4667968750000444</v>
      </c>
      <c r="P453" s="149">
        <f>IF(OR(M453=0,M453=3),loop_gain!$B$18,IF(Current_limit!M453=1,Current_limit!$B$12/(2*(Current_limit!N453-Helper_calcs!$B$15)),IF(OR(M453=2,M453=23),(Main!$B$18-Current_limit!O453)*Current_limit!O453/(Main!$B$18*loop_gain!$B$17*(Helper_calcs!$B$14-Helper_calcs!$B$15)),x)))</f>
        <v>1067203.5327377515</v>
      </c>
      <c r="Q453" s="161"/>
    </row>
    <row r="454" spans="1:17" x14ac:dyDescent="0.25">
      <c r="A454">
        <f t="shared" si="56"/>
        <v>5.1299999999999342</v>
      </c>
      <c r="B454">
        <f>Main!$B$19/A454</f>
        <v>0.97465886939572399</v>
      </c>
      <c r="D454" s="161">
        <f t="shared" si="49"/>
        <v>0.97465886939572399</v>
      </c>
      <c r="E454" s="161">
        <f>-B454*Main!$B$18-2*Main!$B$18*loop_gain!$B$17*loop_gain!$B$18</f>
        <v>-178.01590643274869</v>
      </c>
      <c r="F454" s="161">
        <f>2*Main!$B$18*loop_gain!$B$17*loop_gain!$B$18*Helper_calcs!$B$14*Current_limit!B454</f>
        <v>632.21052631579744</v>
      </c>
      <c r="G454" s="161">
        <f t="shared" si="51"/>
        <v>3.6233064894461022</v>
      </c>
      <c r="H454" s="161">
        <f>(Main!$B$18-Current_limit!G454)*Current_limit!G454/(Main!$B$18*loop_gain!$B$17*loop_gain!$B$18)</f>
        <v>0.36497508365669779</v>
      </c>
      <c r="I454" s="161">
        <f t="shared" si="52"/>
        <v>3.5350249163433043</v>
      </c>
      <c r="J454" s="161"/>
      <c r="K454" s="163">
        <f>IF(A454&gt;$B$15,IF(I454&gt;Helper_calcs!$B$15,23,3),0)</f>
        <v>23</v>
      </c>
      <c r="L454" s="162">
        <f t="shared" si="50"/>
        <v>2</v>
      </c>
      <c r="M454" s="162">
        <f t="shared" si="53"/>
        <v>2</v>
      </c>
      <c r="N454" s="161">
        <f t="shared" si="54"/>
        <v>3.55</v>
      </c>
      <c r="O454" s="161">
        <f t="shared" si="55"/>
        <v>3.46003898635482</v>
      </c>
      <c r="P454" s="149">
        <f>IF(OR(M454=0,M454=3),loop_gain!$B$18,IF(Current_limit!M454=1,Current_limit!$B$12/(2*(Current_limit!N454-Helper_calcs!$B$15)),IF(OR(M454=2,M454=23),(Main!$B$18-Current_limit!O454)*Current_limit!O454/(Main!$B$18*loop_gain!$B$17*(Helper_calcs!$B$14-Helper_calcs!$B$15)),x)))</f>
        <v>1065966.7405902799</v>
      </c>
      <c r="Q454" s="161"/>
    </row>
    <row r="455" spans="1:17" x14ac:dyDescent="0.25">
      <c r="A455">
        <f t="shared" si="56"/>
        <v>5.139999999999934</v>
      </c>
      <c r="B455">
        <f>Main!$B$19/A455</f>
        <v>0.97276264591440942</v>
      </c>
      <c r="D455" s="161">
        <f t="shared" si="49"/>
        <v>0.97276264591440942</v>
      </c>
      <c r="E455" s="161">
        <f>-B455*Main!$B$18-2*Main!$B$18*loop_gain!$B$17*loop_gain!$B$18</f>
        <v>-177.99315175097291</v>
      </c>
      <c r="F455" s="161">
        <f>2*Main!$B$18*loop_gain!$B$17*loop_gain!$B$18*Helper_calcs!$B$14*Current_limit!B455</f>
        <v>630.98054474708977</v>
      </c>
      <c r="G455" s="161">
        <f t="shared" si="51"/>
        <v>3.6164481997144593</v>
      </c>
      <c r="H455" s="161">
        <f>(Main!$B$18-Current_limit!G455)*Current_limit!G455/(Main!$B$18*loop_gain!$B$17*loop_gain!$B$18)</f>
        <v>0.36458250138715198</v>
      </c>
      <c r="I455" s="161">
        <f t="shared" si="52"/>
        <v>3.5354174986128406</v>
      </c>
      <c r="J455" s="161"/>
      <c r="K455" s="163">
        <f>IF(A455&gt;$B$15,IF(I455&gt;Helper_calcs!$B$15,23,3),0)</f>
        <v>23</v>
      </c>
      <c r="L455" s="162">
        <f t="shared" si="50"/>
        <v>2</v>
      </c>
      <c r="M455" s="162">
        <f t="shared" si="53"/>
        <v>2</v>
      </c>
      <c r="N455" s="161">
        <f t="shared" si="54"/>
        <v>3.55</v>
      </c>
      <c r="O455" s="161">
        <f t="shared" si="55"/>
        <v>3.4533073929961531</v>
      </c>
      <c r="P455" s="149">
        <f>IF(OR(M455=0,M455=3),loop_gain!$B$18,IF(Current_limit!M455=1,Current_limit!$B$12/(2*(Current_limit!N455-Helper_calcs!$B$15)),IF(OR(M455=2,M455=23),(Main!$B$18-Current_limit!O455)*Current_limit!O455/(Main!$B$18*loop_gain!$B$17*(Helper_calcs!$B$14-Helper_calcs!$B$15)),x)))</f>
        <v>1064731.485044443</v>
      </c>
      <c r="Q455" s="161"/>
    </row>
    <row r="456" spans="1:17" x14ac:dyDescent="0.25">
      <c r="A456">
        <f t="shared" si="56"/>
        <v>5.1499999999999337</v>
      </c>
      <c r="B456">
        <f>Main!$B$19/A456</f>
        <v>0.97087378640777944</v>
      </c>
      <c r="D456" s="161">
        <f t="shared" si="49"/>
        <v>0.97087378640777944</v>
      </c>
      <c r="E456" s="161">
        <f>-B456*Main!$B$18-2*Main!$B$18*loop_gain!$B$17*loop_gain!$B$18</f>
        <v>-177.97048543689334</v>
      </c>
      <c r="F456" s="161">
        <f>2*Main!$B$18*loop_gain!$B$17*loop_gain!$B$18*Helper_calcs!$B$14*Current_limit!B456</f>
        <v>629.75533980583327</v>
      </c>
      <c r="G456" s="161">
        <f t="shared" si="51"/>
        <v>3.609616355237288</v>
      </c>
      <c r="H456" s="161">
        <f>(Main!$B$18-Current_limit!G456)*Current_limit!G456/(Main!$B$18*loop_gain!$B$17*loop_gain!$B$18)</f>
        <v>0.36419030821129067</v>
      </c>
      <c r="I456" s="161">
        <f t="shared" si="52"/>
        <v>3.5358096917887134</v>
      </c>
      <c r="J456" s="161"/>
      <c r="K456" s="163">
        <f>IF(A456&gt;$B$15,IF(I456&gt;Helper_calcs!$B$15,23,3),0)</f>
        <v>23</v>
      </c>
      <c r="L456" s="162">
        <f t="shared" si="50"/>
        <v>2</v>
      </c>
      <c r="M456" s="162">
        <f t="shared" si="53"/>
        <v>2</v>
      </c>
      <c r="N456" s="161">
        <f t="shared" si="54"/>
        <v>3.55</v>
      </c>
      <c r="O456" s="161">
        <f t="shared" si="55"/>
        <v>3.446601941747617</v>
      </c>
      <c r="P456" s="149">
        <f>IF(OR(M456=0,M456=3),loop_gain!$B$18,IF(Current_limit!M456=1,Current_limit!$B$12/(2*(Current_limit!N456-Helper_calcs!$B$15)),IF(OR(M456=2,M456=23),(Main!$B$18-Current_limit!O456)*Current_limit!O456/(Main!$B$18*loop_gain!$B$17*(Helper_calcs!$B$14-Helper_calcs!$B$15)),x)))</f>
        <v>1063497.7761945517</v>
      </c>
      <c r="Q456" s="161"/>
    </row>
    <row r="457" spans="1:17" x14ac:dyDescent="0.25">
      <c r="A457">
        <f t="shared" si="56"/>
        <v>5.1599999999999335</v>
      </c>
      <c r="B457">
        <f>Main!$B$19/A457</f>
        <v>0.96899224806202799</v>
      </c>
      <c r="D457" s="161">
        <f t="shared" si="49"/>
        <v>0.96899224806202799</v>
      </c>
      <c r="E457" s="161">
        <f>-B457*Main!$B$18-2*Main!$B$18*loop_gain!$B$17*loop_gain!$B$18</f>
        <v>-177.94790697674432</v>
      </c>
      <c r="F457" s="161">
        <f>2*Main!$B$18*loop_gain!$B$17*loop_gain!$B$18*Helper_calcs!$B$14*Current_limit!B457</f>
        <v>628.5348837209383</v>
      </c>
      <c r="G457" s="161">
        <f t="shared" si="51"/>
        <v>3.6028108002970596</v>
      </c>
      <c r="H457" s="161">
        <f>(Main!$B$18-Current_limit!G457)*Current_limit!G457/(Main!$B$18*loop_gain!$B$17*loop_gain!$B$18)</f>
        <v>0.36379850818695975</v>
      </c>
      <c r="I457" s="161">
        <f t="shared" si="52"/>
        <v>3.5362014918130376</v>
      </c>
      <c r="J457" s="161"/>
      <c r="K457" s="163">
        <f>IF(A457&gt;$B$15,IF(I457&gt;Helper_calcs!$B$15,23,3),0)</f>
        <v>23</v>
      </c>
      <c r="L457" s="162">
        <f t="shared" si="50"/>
        <v>2</v>
      </c>
      <c r="M457" s="162">
        <f t="shared" si="53"/>
        <v>2</v>
      </c>
      <c r="N457" s="161">
        <f t="shared" si="54"/>
        <v>3.55</v>
      </c>
      <c r="O457" s="161">
        <f t="shared" si="55"/>
        <v>3.4399224806201993</v>
      </c>
      <c r="P457" s="149">
        <f>IF(OR(M457=0,M457=3),loop_gain!$B$18,IF(Current_limit!M457=1,Current_limit!$B$12/(2*(Current_limit!N457-Helper_calcs!$B$15)),IF(OR(M457=2,M457=23),(Main!$B$18-Current_limit!O457)*Current_limit!O457/(Main!$B$18*loop_gain!$B$17*(Helper_calcs!$B$14-Helper_calcs!$B$15)),x)))</f>
        <v>1062265.6239093139</v>
      </c>
      <c r="Q457" s="161"/>
    </row>
    <row r="458" spans="1:17" x14ac:dyDescent="0.25">
      <c r="A458">
        <f t="shared" si="56"/>
        <v>5.1699999999999333</v>
      </c>
      <c r="B458">
        <f>Main!$B$19/A458</f>
        <v>0.96711798839459662</v>
      </c>
      <c r="D458" s="161">
        <f t="shared" si="49"/>
        <v>0.96711798839459662</v>
      </c>
      <c r="E458" s="161">
        <f>-B458*Main!$B$18-2*Main!$B$18*loop_gain!$B$17*loop_gain!$B$18</f>
        <v>-177.92541586073514</v>
      </c>
      <c r="F458" s="161">
        <f>2*Main!$B$18*loop_gain!$B$17*loop_gain!$B$18*Helper_calcs!$B$14*Current_limit!B458</f>
        <v>627.31914893617818</v>
      </c>
      <c r="G458" s="161">
        <f t="shared" si="51"/>
        <v>3.5960313804198272</v>
      </c>
      <c r="H458" s="161">
        <f>(Main!$B$18-Current_limit!G458)*Current_limit!G458/(Main!$B$18*loop_gain!$B$17*loop_gain!$B$18)</f>
        <v>0.36340710529189274</v>
      </c>
      <c r="I458" s="161">
        <f t="shared" si="52"/>
        <v>3.5365928947081069</v>
      </c>
      <c r="J458" s="161"/>
      <c r="K458" s="163">
        <f>IF(A458&gt;$B$15,IF(I458&gt;Helper_calcs!$B$15,23,3),0)</f>
        <v>23</v>
      </c>
      <c r="L458" s="162">
        <f t="shared" si="50"/>
        <v>2</v>
      </c>
      <c r="M458" s="162">
        <f t="shared" si="53"/>
        <v>2</v>
      </c>
      <c r="N458" s="161">
        <f t="shared" si="54"/>
        <v>3.55</v>
      </c>
      <c r="O458" s="161">
        <f t="shared" si="55"/>
        <v>3.433268858800818</v>
      </c>
      <c r="P458" s="149">
        <f>IF(OR(M458=0,M458=3),loop_gain!$B$18,IF(Current_limit!M458=1,Current_limit!$B$12/(2*(Current_limit!N458-Helper_calcs!$B$15)),IF(OR(M458=2,M458=23),(Main!$B$18-Current_limit!O458)*Current_limit!O458/(Main!$B$18*loop_gain!$B$17*(Helper_calcs!$B$14-Helper_calcs!$B$15)),x)))</f>
        <v>1061035.0378354385</v>
      </c>
      <c r="Q458" s="161"/>
    </row>
    <row r="459" spans="1:17" x14ac:dyDescent="0.25">
      <c r="A459">
        <f t="shared" si="56"/>
        <v>5.1799999999999331</v>
      </c>
      <c r="B459">
        <f>Main!$B$19/A459</f>
        <v>0.96525096525097775</v>
      </c>
      <c r="D459" s="161">
        <f t="shared" si="49"/>
        <v>0.96525096525097775</v>
      </c>
      <c r="E459" s="161">
        <f>-B459*Main!$B$18-2*Main!$B$18*loop_gain!$B$17*loop_gain!$B$18</f>
        <v>-177.90301158301173</v>
      </c>
      <c r="F459" s="161">
        <f>2*Main!$B$18*loop_gain!$B$17*loop_gain!$B$18*Helper_calcs!$B$14*Current_limit!B459</f>
        <v>626.10810810811608</v>
      </c>
      <c r="G459" s="161">
        <f t="shared" si="51"/>
        <v>3.5892779423625156</v>
      </c>
      <c r="H459" s="161">
        <f>(Main!$B$18-Current_limit!G459)*Current_limit!G459/(Main!$B$18*loop_gain!$B$17*loop_gain!$B$18)</f>
        <v>0.36301610342496504</v>
      </c>
      <c r="I459" s="161">
        <f t="shared" si="52"/>
        <v>3.5369838965750358</v>
      </c>
      <c r="J459" s="161"/>
      <c r="K459" s="163">
        <f>IF(A459&gt;$B$15,IF(I459&gt;Helper_calcs!$B$15,23,3),0)</f>
        <v>23</v>
      </c>
      <c r="L459" s="162">
        <f t="shared" si="50"/>
        <v>2</v>
      </c>
      <c r="M459" s="162">
        <f t="shared" si="53"/>
        <v>2</v>
      </c>
      <c r="N459" s="161">
        <f t="shared" si="54"/>
        <v>3.55</v>
      </c>
      <c r="O459" s="161">
        <f t="shared" si="55"/>
        <v>3.426640926640971</v>
      </c>
      <c r="P459" s="149">
        <f>IF(OR(M459=0,M459=3),loop_gain!$B$18,IF(Current_limit!M459=1,Current_limit!$B$12/(2*(Current_limit!N459-Helper_calcs!$B$15)),IF(OR(M459=2,M459=23),(Main!$B$18-Current_limit!O459)*Current_limit!O459/(Main!$B$18*loop_gain!$B$17*(Helper_calcs!$B$14-Helper_calcs!$B$15)),x)))</f>
        <v>1059806.0274011821</v>
      </c>
      <c r="Q459" s="161"/>
    </row>
    <row r="460" spans="1:17" x14ac:dyDescent="0.25">
      <c r="A460">
        <f t="shared" si="56"/>
        <v>5.1899999999999329</v>
      </c>
      <c r="B460">
        <f>Main!$B$19/A460</f>
        <v>0.96339113680155386</v>
      </c>
      <c r="D460" s="161">
        <f t="shared" si="49"/>
        <v>0.96339113680155386</v>
      </c>
      <c r="E460" s="161">
        <f>-B460*Main!$B$18-2*Main!$B$18*loop_gain!$B$17*loop_gain!$B$18</f>
        <v>-177.88069364161865</v>
      </c>
      <c r="F460" s="161">
        <f>2*Main!$B$18*loop_gain!$B$17*loop_gain!$B$18*Helper_calcs!$B$14*Current_limit!B460</f>
        <v>624.90173410405419</v>
      </c>
      <c r="G460" s="161">
        <f t="shared" si="51"/>
        <v>3.5825503341005125</v>
      </c>
      <c r="H460" s="161">
        <f>(Main!$B$18-Current_limit!G460)*Current_limit!G460/(Main!$B$18*loop_gain!$B$17*loop_gain!$B$18)</f>
        <v>0.36262550640743701</v>
      </c>
      <c r="I460" s="161">
        <f t="shared" si="52"/>
        <v>3.5373744935925653</v>
      </c>
      <c r="J460" s="161"/>
      <c r="K460" s="163">
        <f>IF(A460&gt;$B$15,IF(I460&gt;Helper_calcs!$B$15,23,3),0)</f>
        <v>23</v>
      </c>
      <c r="L460" s="162">
        <f t="shared" si="50"/>
        <v>2</v>
      </c>
      <c r="M460" s="162">
        <f t="shared" si="53"/>
        <v>2</v>
      </c>
      <c r="N460" s="161">
        <f t="shared" si="54"/>
        <v>3.55</v>
      </c>
      <c r="O460" s="161">
        <f t="shared" si="55"/>
        <v>3.4200385356455159</v>
      </c>
      <c r="P460" s="149">
        <f>IF(OR(M460=0,M460=3),loop_gain!$B$18,IF(Current_limit!M460=1,Current_limit!$B$12/(2*(Current_limit!N460-Helper_calcs!$B$15)),IF(OR(M460=2,M460=23),(Main!$B$18-Current_limit!O460)*Current_limit!O460/(Main!$B$18*loop_gain!$B$17*(Helper_calcs!$B$14-Helper_calcs!$B$15)),x)))</f>
        <v>1058578.601819837</v>
      </c>
      <c r="Q460" s="161"/>
    </row>
    <row r="461" spans="1:17" x14ac:dyDescent="0.25">
      <c r="A461">
        <f t="shared" si="56"/>
        <v>5.1999999999999327</v>
      </c>
      <c r="B461">
        <f>Main!$B$19/A461</f>
        <v>0.961538461538474</v>
      </c>
      <c r="D461" s="161">
        <f t="shared" si="49"/>
        <v>0.961538461538474</v>
      </c>
      <c r="E461" s="161">
        <f>-B461*Main!$B$18-2*Main!$B$18*loop_gain!$B$17*loop_gain!$B$18</f>
        <v>-177.85846153846168</v>
      </c>
      <c r="F461" s="161">
        <f>2*Main!$B$18*loop_gain!$B$17*loop_gain!$B$18*Helper_calcs!$B$14*Current_limit!B461</f>
        <v>623.700000000008</v>
      </c>
      <c r="G461" s="161">
        <f t="shared" si="51"/>
        <v>3.5758484048153414</v>
      </c>
      <c r="H461" s="161">
        <f>(Main!$B$18-Current_limit!G461)*Current_limit!G461/(Main!$B$18*loop_gain!$B$17*loop_gain!$B$18)</f>
        <v>0.36223531798417119</v>
      </c>
      <c r="I461" s="161">
        <f t="shared" si="52"/>
        <v>3.5377646820158213</v>
      </c>
      <c r="J461" s="161"/>
      <c r="K461" s="163">
        <f>IF(A461&gt;$B$15,IF(I461&gt;Helper_calcs!$B$15,23,3),0)</f>
        <v>23</v>
      </c>
      <c r="L461" s="162">
        <f t="shared" si="50"/>
        <v>2</v>
      </c>
      <c r="M461" s="162">
        <f t="shared" si="53"/>
        <v>2</v>
      </c>
      <c r="N461" s="161">
        <f t="shared" si="54"/>
        <v>3.55</v>
      </c>
      <c r="O461" s="161">
        <f t="shared" si="55"/>
        <v>3.4134615384615827</v>
      </c>
      <c r="P461" s="149">
        <f>IF(OR(M461=0,M461=3),loop_gain!$B$18,IF(Current_limit!M461=1,Current_limit!$B$12/(2*(Current_limit!N461-Helper_calcs!$B$15)),IF(OR(M461=2,M461=23),(Main!$B$18-Current_limit!O461)*Current_limit!O461/(Main!$B$18*loop_gain!$B$17*(Helper_calcs!$B$14-Helper_calcs!$B$15)),x)))</f>
        <v>1057352.7700931635</v>
      </c>
      <c r="Q461" s="161"/>
    </row>
    <row r="462" spans="1:17" x14ac:dyDescent="0.25">
      <c r="A462">
        <f t="shared" si="56"/>
        <v>5.2099999999999325</v>
      </c>
      <c r="B462">
        <f>Main!$B$19/A462</f>
        <v>0.95969289827256521</v>
      </c>
      <c r="D462" s="161">
        <f t="shared" si="49"/>
        <v>0.95969289827256521</v>
      </c>
      <c r="E462" s="161">
        <f>-B462*Main!$B$18-2*Main!$B$18*loop_gain!$B$17*loop_gain!$B$18</f>
        <v>-177.83631477927077</v>
      </c>
      <c r="F462" s="161">
        <f>2*Main!$B$18*loop_gain!$B$17*loop_gain!$B$18*Helper_calcs!$B$14*Current_limit!B462</f>
        <v>622.50287907870279</v>
      </c>
      <c r="G462" s="161">
        <f t="shared" si="51"/>
        <v>3.5691720048825664</v>
      </c>
      <c r="H462" s="161">
        <f>(Main!$B$18-Current_limit!G462)*Current_limit!G462/(Main!$B$18*loop_gain!$B$17*loop_gain!$B$18)</f>
        <v>0.36184554182483597</v>
      </c>
      <c r="I462" s="161">
        <f t="shared" si="52"/>
        <v>3.538154458175168</v>
      </c>
      <c r="J462" s="161"/>
      <c r="K462" s="163">
        <f>IF(A462&gt;$B$15,IF(I462&gt;Helper_calcs!$B$15,23,3),0)</f>
        <v>23</v>
      </c>
      <c r="L462" s="162">
        <f t="shared" si="50"/>
        <v>2</v>
      </c>
      <c r="M462" s="162">
        <f t="shared" si="53"/>
        <v>2</v>
      </c>
      <c r="N462" s="161">
        <f t="shared" si="54"/>
        <v>3.55</v>
      </c>
      <c r="O462" s="161">
        <f t="shared" si="55"/>
        <v>3.4069097888676065</v>
      </c>
      <c r="P462" s="149">
        <f>IF(OR(M462=0,M462=3),loop_gain!$B$18,IF(Current_limit!M462=1,Current_limit!$B$12/(2*(Current_limit!N462-Helper_calcs!$B$15)),IF(OR(M462=2,M462=23),(Main!$B$18-Current_limit!O462)*Current_limit!O462/(Main!$B$18*loop_gain!$B$17*(Helper_calcs!$B$14-Helper_calcs!$B$15)),x)))</f>
        <v>1056128.5410147682</v>
      </c>
      <c r="Q462" s="161"/>
    </row>
    <row r="463" spans="1:17" x14ac:dyDescent="0.25">
      <c r="A463">
        <f t="shared" si="56"/>
        <v>5.2199999999999322</v>
      </c>
      <c r="B463">
        <f>Main!$B$19/A463</f>
        <v>0.95785440613028061</v>
      </c>
      <c r="D463" s="161">
        <f t="shared" si="49"/>
        <v>0.95785440613028061</v>
      </c>
      <c r="E463" s="161">
        <f>-B463*Main!$B$18-2*Main!$B$18*loop_gain!$B$17*loop_gain!$B$18</f>
        <v>-177.81425287356336</v>
      </c>
      <c r="F463" s="161">
        <f>2*Main!$B$18*loop_gain!$B$17*loop_gain!$B$18*Helper_calcs!$B$14*Current_limit!B463</f>
        <v>621.31034482759412</v>
      </c>
      <c r="G463" s="161">
        <f t="shared" si="51"/>
        <v>3.5625209858596851</v>
      </c>
      <c r="H463" s="161">
        <f>(Main!$B$18-Current_limit!G463)*Current_limit!G463/(Main!$B$18*loop_gain!$B$17*loop_gain!$B$18)</f>
        <v>0.36145618152507891</v>
      </c>
      <c r="I463" s="161">
        <f t="shared" si="52"/>
        <v>3.5385438184749236</v>
      </c>
      <c r="J463" s="161"/>
      <c r="K463" s="163">
        <f>IF(A463&gt;$B$15,IF(I463&gt;Helper_calcs!$B$15,23,3),0)</f>
        <v>23</v>
      </c>
      <c r="L463" s="162">
        <f t="shared" si="50"/>
        <v>2</v>
      </c>
      <c r="M463" s="162">
        <f t="shared" si="53"/>
        <v>2</v>
      </c>
      <c r="N463" s="161">
        <f t="shared" si="54"/>
        <v>3.55</v>
      </c>
      <c r="O463" s="161">
        <f t="shared" si="55"/>
        <v>3.4003831417624961</v>
      </c>
      <c r="P463" s="149">
        <f>IF(OR(M463=0,M463=3),loop_gain!$B$18,IF(Current_limit!M463=1,Current_limit!$B$12/(2*(Current_limit!N463-Helper_calcs!$B$15)),IF(OR(M463=2,M463=23),(Main!$B$18-Current_limit!O463)*Current_limit!O463/(Main!$B$18*loop_gain!$B$17*(Helper_calcs!$B$14-Helper_calcs!$B$15)),x)))</f>
        <v>1054905.9231734264</v>
      </c>
      <c r="Q463" s="161"/>
    </row>
    <row r="464" spans="1:17" x14ac:dyDescent="0.25">
      <c r="A464">
        <f t="shared" si="56"/>
        <v>5.229999999999932</v>
      </c>
      <c r="B464">
        <f>Main!$B$19/A464</f>
        <v>0.9560229445506816</v>
      </c>
      <c r="D464" s="161">
        <f t="shared" si="49"/>
        <v>0.9560229445506816</v>
      </c>
      <c r="E464" s="161">
        <f>-B464*Main!$B$18-2*Main!$B$18*loop_gain!$B$17*loop_gain!$B$18</f>
        <v>-177.79227533460818</v>
      </c>
      <c r="F464" s="161">
        <f>2*Main!$B$18*loop_gain!$B$17*loop_gain!$B$18*Helper_calcs!$B$14*Current_limit!B464</f>
        <v>620.12237093691044</v>
      </c>
      <c r="G464" s="161">
        <f t="shared" si="51"/>
        <v>3.555895200474374</v>
      </c>
      <c r="H464" s="161">
        <f>(Main!$B$18-Current_limit!G464)*Current_limit!G464/(Main!$B$18*loop_gain!$B$17*loop_gain!$B$18)</f>
        <v>0.36106724060769357</v>
      </c>
      <c r="I464" s="161">
        <f t="shared" si="52"/>
        <v>3.5389327593923001</v>
      </c>
      <c r="J464" s="161"/>
      <c r="K464" s="163">
        <f>IF(A464&gt;$B$15,IF(I464&gt;Helper_calcs!$B$15,23,3),0)</f>
        <v>23</v>
      </c>
      <c r="L464" s="162">
        <f t="shared" si="50"/>
        <v>2</v>
      </c>
      <c r="M464" s="162">
        <f t="shared" si="53"/>
        <v>2</v>
      </c>
      <c r="N464" s="161">
        <f t="shared" si="54"/>
        <v>3.55</v>
      </c>
      <c r="O464" s="161">
        <f t="shared" si="55"/>
        <v>3.3938814531549193</v>
      </c>
      <c r="P464" s="149">
        <f>IF(OR(M464=0,M464=3),loop_gain!$B$18,IF(Current_limit!M464=1,Current_limit!$B$12/(2*(Current_limit!N464-Helper_calcs!$B$15)),IF(OR(M464=2,M464=23),(Main!$B$18-Current_limit!O464)*Current_limit!O464/(Main!$B$18*loop_gain!$B$17*(Helper_calcs!$B$14-Helper_calcs!$B$15)),x)))</f>
        <v>1053684.9249563527</v>
      </c>
      <c r="Q464" s="161"/>
    </row>
    <row r="465" spans="1:17" x14ac:dyDescent="0.25">
      <c r="A465">
        <f t="shared" si="56"/>
        <v>5.2399999999999318</v>
      </c>
      <c r="B465">
        <f>Main!$B$19/A465</f>
        <v>0.95419847328245522</v>
      </c>
      <c r="D465" s="161">
        <f t="shared" si="49"/>
        <v>0.95419847328245522</v>
      </c>
      <c r="E465" s="161">
        <f>-B465*Main!$B$18-2*Main!$B$18*loop_gain!$B$17*loop_gain!$B$18</f>
        <v>-177.77038167938946</v>
      </c>
      <c r="F465" s="161">
        <f>2*Main!$B$18*loop_gain!$B$17*loop_gain!$B$18*Helper_calcs!$B$14*Current_limit!B465</f>
        <v>618.93893129771789</v>
      </c>
      <c r="G465" s="161">
        <f t="shared" si="51"/>
        <v>3.5492945026127556</v>
      </c>
      <c r="H465" s="161">
        <f>(Main!$B$18-Current_limit!G465)*Current_limit!G465/(Main!$B$18*loop_gain!$B$17*loop_gain!$B$18)</f>
        <v>0.36067872252376065</v>
      </c>
      <c r="I465" s="161">
        <f t="shared" si="52"/>
        <v>3.5393212774762386</v>
      </c>
      <c r="J465" s="161"/>
      <c r="K465" s="163">
        <f>IF(A465&gt;$B$15,IF(I465&gt;Helper_calcs!$B$15,23,3),0)</f>
        <v>23</v>
      </c>
      <c r="L465" s="162">
        <f t="shared" si="50"/>
        <v>2</v>
      </c>
      <c r="M465" s="162">
        <f t="shared" si="53"/>
        <v>2</v>
      </c>
      <c r="N465" s="161">
        <f t="shared" si="54"/>
        <v>3.55</v>
      </c>
      <c r="O465" s="161">
        <f t="shared" si="55"/>
        <v>3.3874045801527157</v>
      </c>
      <c r="P465" s="149">
        <f>IF(OR(M465=0,M465=3),loop_gain!$B$18,IF(Current_limit!M465=1,Current_limit!$B$12/(2*(Current_limit!N465-Helper_calcs!$B$15)),IF(OR(M465=2,M465=23),(Main!$B$18-Current_limit!O465)*Current_limit!O465/(Main!$B$18*loop_gain!$B$17*(Helper_calcs!$B$14-Helper_calcs!$B$15)),x)))</f>
        <v>1052465.5545524172</v>
      </c>
      <c r="Q465" s="161"/>
    </row>
    <row r="466" spans="1:17" x14ac:dyDescent="0.25">
      <c r="A466">
        <f t="shared" si="56"/>
        <v>5.2499999999999316</v>
      </c>
      <c r="B466">
        <f>Main!$B$19/A466</f>
        <v>0.95238095238096476</v>
      </c>
      <c r="D466" s="161">
        <f t="shared" si="49"/>
        <v>0.95238095238096476</v>
      </c>
      <c r="E466" s="161">
        <f>-B466*Main!$B$18-2*Main!$B$18*loop_gain!$B$17*loop_gain!$B$18</f>
        <v>-177.74857142857158</v>
      </c>
      <c r="F466" s="161">
        <f>2*Main!$B$18*loop_gain!$B$17*loop_gain!$B$18*Helper_calcs!$B$14*Current_limit!B466</f>
        <v>617.76000000000795</v>
      </c>
      <c r="G466" s="161">
        <f t="shared" si="51"/>
        <v>3.5427187473077786</v>
      </c>
      <c r="H466" s="161">
        <f>(Main!$B$18-Current_limit!G466)*Current_limit!G466/(Main!$B$18*loop_gain!$B$17*loop_gain!$B$18)</f>
        <v>0.36029063065376798</v>
      </c>
      <c r="I466" s="161">
        <f t="shared" si="52"/>
        <v>3.5397093693462351</v>
      </c>
      <c r="J466" s="161"/>
      <c r="K466" s="163">
        <f>IF(A466&gt;$B$15,IF(I466&gt;Helper_calcs!$B$15,23,3),0)</f>
        <v>23</v>
      </c>
      <c r="L466" s="162">
        <f t="shared" si="50"/>
        <v>2</v>
      </c>
      <c r="M466" s="162">
        <f t="shared" si="53"/>
        <v>2</v>
      </c>
      <c r="N466" s="161">
        <f t="shared" si="54"/>
        <v>3.55</v>
      </c>
      <c r="O466" s="161">
        <f t="shared" si="55"/>
        <v>3.3809523809524249</v>
      </c>
      <c r="P466" s="149">
        <f>IF(OR(M466=0,M466=3),loop_gain!$B$18,IF(Current_limit!M466=1,Current_limit!$B$12/(2*(Current_limit!N466-Helper_calcs!$B$15)),IF(OR(M466=2,M466=23),(Main!$B$18-Current_limit!O466)*Current_limit!O466/(Main!$B$18*loop_gain!$B$17*(Helper_calcs!$B$14-Helper_calcs!$B$15)),x)))</f>
        <v>1051247.8199553115</v>
      </c>
      <c r="Q466" s="161"/>
    </row>
    <row r="467" spans="1:17" x14ac:dyDescent="0.25">
      <c r="A467">
        <f t="shared" si="56"/>
        <v>5.2599999999999314</v>
      </c>
      <c r="B467">
        <f>Main!$B$19/A467</f>
        <v>0.95057034220533554</v>
      </c>
      <c r="D467" s="161">
        <f t="shared" si="49"/>
        <v>0.95057034220533554</v>
      </c>
      <c r="E467" s="161">
        <f>-B467*Main!$B$18-2*Main!$B$18*loop_gain!$B$17*loop_gain!$B$18</f>
        <v>-177.72684410646403</v>
      </c>
      <c r="F467" s="161">
        <f>2*Main!$B$18*loop_gain!$B$17*loop_gain!$B$18*Helper_calcs!$B$14*Current_limit!B467</f>
        <v>616.58555133080642</v>
      </c>
      <c r="G467" s="161">
        <f t="shared" si="51"/>
        <v>3.5361677907278382</v>
      </c>
      <c r="H467" s="161">
        <f>(Main!$B$18-Current_limit!G467)*Current_limit!G467/(Main!$B$18*loop_gain!$B$17*loop_gain!$B$18)</f>
        <v>0.35990296830871887</v>
      </c>
      <c r="I467" s="161">
        <f t="shared" si="52"/>
        <v>3.5400970316912783</v>
      </c>
      <c r="J467" s="161"/>
      <c r="K467" s="163">
        <f>IF(A467&gt;$B$15,IF(I467&gt;Helper_calcs!$B$15,23,3),0)</f>
        <v>23</v>
      </c>
      <c r="L467" s="162">
        <f t="shared" si="50"/>
        <v>2</v>
      </c>
      <c r="M467" s="162">
        <f t="shared" si="53"/>
        <v>2</v>
      </c>
      <c r="N467" s="161">
        <f t="shared" si="54"/>
        <v>3.55</v>
      </c>
      <c r="O467" s="161">
        <f t="shared" si="55"/>
        <v>3.374524714828941</v>
      </c>
      <c r="P467" s="149">
        <f>IF(OR(M467=0,M467=3),loop_gain!$B$18,IF(Current_limit!M467=1,Current_limit!$B$12/(2*(Current_limit!N467-Helper_calcs!$B$15)),IF(OR(M467=2,M467=23),(Main!$B$18-Current_limit!O467)*Current_limit!O467/(Main!$B$18*loop_gain!$B$17*(Helper_calcs!$B$14-Helper_calcs!$B$15)),x)))</f>
        <v>1050031.7289666652</v>
      </c>
      <c r="Q467" s="161"/>
    </row>
    <row r="468" spans="1:17" x14ac:dyDescent="0.25">
      <c r="A468">
        <f t="shared" si="56"/>
        <v>5.2699999999999312</v>
      </c>
      <c r="B468">
        <f>Main!$B$19/A468</f>
        <v>0.94876660341557217</v>
      </c>
      <c r="D468" s="161">
        <f t="shared" si="49"/>
        <v>0.94876660341557217</v>
      </c>
      <c r="E468" s="161">
        <f>-B468*Main!$B$18-2*Main!$B$18*loop_gain!$B$17*loop_gain!$B$18</f>
        <v>-177.70519924098687</v>
      </c>
      <c r="F468" s="161">
        <f>2*Main!$B$18*loop_gain!$B$17*loop_gain!$B$18*Helper_calcs!$B$14*Current_limit!B468</f>
        <v>615.41555977230394</v>
      </c>
      <c r="G468" s="161">
        <f t="shared" si="51"/>
        <v>3.5296414901654969</v>
      </c>
      <c r="H468" s="161">
        <f>(Main!$B$18-Current_limit!G468)*Current_limit!G468/(Main!$B$18*loop_gain!$B$17*loop_gain!$B$18)</f>
        <v>0.35951573873122</v>
      </c>
      <c r="I468" s="161">
        <f t="shared" si="52"/>
        <v>3.5404842612687748</v>
      </c>
      <c r="J468" s="161"/>
      <c r="K468" s="163">
        <f>IF(A468&gt;$B$15,IF(I468&gt;Helper_calcs!$B$15,23,3),0)</f>
        <v>23</v>
      </c>
      <c r="L468" s="162">
        <f t="shared" si="50"/>
        <v>2</v>
      </c>
      <c r="M468" s="162">
        <f t="shared" si="53"/>
        <v>2</v>
      </c>
      <c r="N468" s="161">
        <f t="shared" si="54"/>
        <v>3.55</v>
      </c>
      <c r="O468" s="161">
        <f t="shared" si="55"/>
        <v>3.3681214421252812</v>
      </c>
      <c r="P468" s="149">
        <f>IF(OR(M468=0,M468=3),loop_gain!$B$18,IF(Current_limit!M468=1,Current_limit!$B$12/(2*(Current_limit!N468-Helper_calcs!$B$15)),IF(OR(M468=2,M468=23),(Main!$B$18-Current_limit!O468)*Current_limit!O468/(Main!$B$18*loop_gain!$B$17*(Helper_calcs!$B$14-Helper_calcs!$B$15)),x)))</f>
        <v>1048817.289199109</v>
      </c>
      <c r="Q468" s="161"/>
    </row>
    <row r="469" spans="1:17" x14ac:dyDescent="0.25">
      <c r="A469">
        <f t="shared" si="56"/>
        <v>5.279999999999931</v>
      </c>
      <c r="B469">
        <f>Main!$B$19/A469</f>
        <v>0.94696969696970934</v>
      </c>
      <c r="D469" s="161">
        <f t="shared" si="49"/>
        <v>0.94696969696970934</v>
      </c>
      <c r="E469" s="161">
        <f>-B469*Main!$B$18-2*Main!$B$18*loop_gain!$B$17*loop_gain!$B$18</f>
        <v>-177.68363636363651</v>
      </c>
      <c r="F469" s="161">
        <f>2*Main!$B$18*loop_gain!$B$17*loop_gain!$B$18*Helper_calcs!$B$14*Current_limit!B469</f>
        <v>614.25000000000796</v>
      </c>
      <c r="G469" s="161">
        <f t="shared" si="51"/>
        <v>3.5231397040263013</v>
      </c>
      <c r="H469" s="161">
        <f>(Main!$B$18-Current_limit!G469)*Current_limit!G469/(Main!$B$18*loop_gain!$B$17*loop_gain!$B$18)</f>
        <v>0.35912894509654986</v>
      </c>
      <c r="I469" s="161">
        <f t="shared" si="52"/>
        <v>3.5408710549034508</v>
      </c>
      <c r="J469" s="161"/>
      <c r="K469" s="163">
        <f>IF(A469&gt;$B$15,IF(I469&gt;Helper_calcs!$B$15,23,3),0)</f>
        <v>23</v>
      </c>
      <c r="L469" s="162">
        <f t="shared" si="50"/>
        <v>2</v>
      </c>
      <c r="M469" s="162">
        <f t="shared" si="53"/>
        <v>2</v>
      </c>
      <c r="N469" s="161">
        <f t="shared" si="54"/>
        <v>3.55</v>
      </c>
      <c r="O469" s="161">
        <f t="shared" si="55"/>
        <v>3.3617424242424678</v>
      </c>
      <c r="P469" s="149">
        <f>IF(OR(M469=0,M469=3),loop_gain!$B$18,IF(Current_limit!M469=1,Current_limit!$B$12/(2*(Current_limit!N469-Helper_calcs!$B$15)),IF(OR(M469=2,M469=23),(Main!$B$18-Current_limit!O469)*Current_limit!O469/(Main!$B$18*loop_gain!$B$17*(Helper_calcs!$B$14-Helper_calcs!$B$15)),x)))</f>
        <v>1047604.5080792928</v>
      </c>
      <c r="Q469" s="161"/>
    </row>
    <row r="470" spans="1:17" x14ac:dyDescent="0.25">
      <c r="A470">
        <f t="shared" si="56"/>
        <v>5.2899999999999308</v>
      </c>
      <c r="B470">
        <f>Main!$B$19/A470</f>
        <v>0.94517958412099534</v>
      </c>
      <c r="D470" s="161">
        <f t="shared" si="49"/>
        <v>0.94517958412099534</v>
      </c>
      <c r="E470" s="161">
        <f>-B470*Main!$B$18-2*Main!$B$18*loop_gain!$B$17*loop_gain!$B$18</f>
        <v>-177.66215500945194</v>
      </c>
      <c r="F470" s="161">
        <f>2*Main!$B$18*loop_gain!$B$17*loop_gain!$B$18*Helper_calcs!$B$14*Current_limit!B470</f>
        <v>613.0888468809153</v>
      </c>
      <c r="G470" s="161">
        <f t="shared" si="51"/>
        <v>3.5166622918177581</v>
      </c>
      <c r="H470" s="161">
        <f>(Main!$B$18-Current_limit!G470)*Current_limit!G470/(Main!$B$18*loop_gain!$B$17*loop_gain!$B$18)</f>
        <v>0.3587425905137106</v>
      </c>
      <c r="I470" s="161">
        <f t="shared" si="52"/>
        <v>3.5412574094862843</v>
      </c>
      <c r="J470" s="161"/>
      <c r="K470" s="163">
        <f>IF(A470&gt;$B$15,IF(I470&gt;Helper_calcs!$B$15,23,3),0)</f>
        <v>23</v>
      </c>
      <c r="L470" s="162">
        <f t="shared" si="50"/>
        <v>2</v>
      </c>
      <c r="M470" s="162">
        <f t="shared" si="53"/>
        <v>2</v>
      </c>
      <c r="N470" s="161">
        <f t="shared" si="54"/>
        <v>3.55</v>
      </c>
      <c r="O470" s="161">
        <f t="shared" si="55"/>
        <v>3.3553875236295334</v>
      </c>
      <c r="P470" s="149">
        <f>IF(OR(M470=0,M470=3),loop_gain!$B$18,IF(Current_limit!M470=1,Current_limit!$B$12/(2*(Current_limit!N470-Helper_calcs!$B$15)),IF(OR(M470=2,M470=23),(Main!$B$18-Current_limit!O470)*Current_limit!O470/(Main!$B$18*loop_gain!$B$17*(Helper_calcs!$B$14-Helper_calcs!$B$15)),x)))</f>
        <v>1046393.3928508543</v>
      </c>
      <c r="Q470" s="161"/>
    </row>
    <row r="471" spans="1:17" x14ac:dyDescent="0.25">
      <c r="A471">
        <f t="shared" si="56"/>
        <v>5.2999999999999305</v>
      </c>
      <c r="B471">
        <f>Main!$B$19/A471</f>
        <v>0.94339622641510668</v>
      </c>
      <c r="D471" s="161">
        <f t="shared" ref="D471:D534" si="57">B471</f>
        <v>0.94339622641510668</v>
      </c>
      <c r="E471" s="161">
        <f>-B471*Main!$B$18-2*Main!$B$18*loop_gain!$B$17*loop_gain!$B$18</f>
        <v>-177.64075471698126</v>
      </c>
      <c r="F471" s="161">
        <f>2*Main!$B$18*loop_gain!$B$17*loop_gain!$B$18*Helper_calcs!$B$14*Current_limit!B471</f>
        <v>611.93207547170607</v>
      </c>
      <c r="G471" s="161">
        <f t="shared" si="51"/>
        <v>3.5102091141385054</v>
      </c>
      <c r="H471" s="161">
        <f>(Main!$B$18-Current_limit!G471)*Current_limit!G471/(Main!$B$18*loop_gain!$B$17*loop_gain!$B$18)</f>
        <v>0.35835667802646748</v>
      </c>
      <c r="I471" s="161">
        <f t="shared" si="52"/>
        <v>3.5416433219735333</v>
      </c>
      <c r="J471" s="161"/>
      <c r="K471" s="163">
        <f>IF(A471&gt;$B$15,IF(I471&gt;Helper_calcs!$B$15,23,3),0)</f>
        <v>23</v>
      </c>
      <c r="L471" s="162">
        <f t="shared" ref="L471:L534" si="58">IF(A471&gt;$B$13,IF(A471&gt;$B$14,2,1),0)</f>
        <v>2</v>
      </c>
      <c r="M471" s="162">
        <f t="shared" si="53"/>
        <v>2</v>
      </c>
      <c r="N471" s="161">
        <f t="shared" si="54"/>
        <v>3.55</v>
      </c>
      <c r="O471" s="161">
        <f t="shared" si="55"/>
        <v>3.3490566037736285</v>
      </c>
      <c r="P471" s="149">
        <f>IF(OR(M471=0,M471=3),loop_gain!$B$18,IF(Current_limit!M471=1,Current_limit!$B$12/(2*(Current_limit!N471-Helper_calcs!$B$15)),IF(OR(M471=2,M471=23),(Main!$B$18-Current_limit!O471)*Current_limit!O471/(Main!$B$18*loop_gain!$B$17*(Helper_calcs!$B$14-Helper_calcs!$B$15)),x)))</f>
        <v>1045183.9505773376</v>
      </c>
      <c r="Q471" s="161"/>
    </row>
    <row r="472" spans="1:17" x14ac:dyDescent="0.25">
      <c r="A472">
        <f t="shared" si="56"/>
        <v>5.3099999999999303</v>
      </c>
      <c r="B472">
        <f>Main!$B$19/A472</f>
        <v>0.94161958568739468</v>
      </c>
      <c r="D472" s="161">
        <f t="shared" si="57"/>
        <v>0.94161958568739468</v>
      </c>
      <c r="E472" s="161">
        <f>-B472*Main!$B$18-2*Main!$B$18*loop_gain!$B$17*loop_gain!$B$18</f>
        <v>-177.61943502824872</v>
      </c>
      <c r="F472" s="161">
        <f>2*Main!$B$18*loop_gain!$B$17*loop_gain!$B$18*Helper_calcs!$B$14*Current_limit!B472</f>
        <v>610.77966101695711</v>
      </c>
      <c r="G472" s="161">
        <f t="shared" ref="G472:G535" si="59">(-E472-SQRT(E472^2-4*D472*F472))/(2*D472)</f>
        <v>3.5037800326674864</v>
      </c>
      <c r="H472" s="161">
        <f>(Main!$B$18-Current_limit!G472)*Current_limit!G472/(Main!$B$18*loop_gain!$B$17*loop_gain!$B$18)</f>
        <v>0.35797121061436349</v>
      </c>
      <c r="I472" s="161">
        <f t="shared" ref="I472:I535" si="60">(G472/B472)-0.5*H472</f>
        <v>3.5420287893856401</v>
      </c>
      <c r="J472" s="161"/>
      <c r="K472" s="163">
        <f>IF(A472&gt;$B$15,IF(I472&gt;Helper_calcs!$B$15,23,3),0)</f>
        <v>23</v>
      </c>
      <c r="L472" s="162">
        <f t="shared" si="58"/>
        <v>2</v>
      </c>
      <c r="M472" s="162">
        <f t="shared" ref="M472:M535" si="61">IF($B$16="N",L472,K472)</f>
        <v>2</v>
      </c>
      <c r="N472" s="161">
        <f t="shared" ref="N472:N535" si="62">IF(OR(M472=0,M472=1),A472,IF(OR(M472=2,M472=23),$B$14,G472/B472))</f>
        <v>3.55</v>
      </c>
      <c r="O472" s="161">
        <f t="shared" ref="O472:O535" si="63">N472*B472</f>
        <v>3.3427495291902511</v>
      </c>
      <c r="P472" s="149">
        <f>IF(OR(M472=0,M472=3),loop_gain!$B$18,IF(Current_limit!M472=1,Current_limit!$B$12/(2*(Current_limit!N472-Helper_calcs!$B$15)),IF(OR(M472=2,M472=23),(Main!$B$18-Current_limit!O472)*Current_limit!O472/(Main!$B$18*loop_gain!$B$17*(Helper_calcs!$B$14-Helper_calcs!$B$15)),x)))</f>
        <v>1043976.1881450715</v>
      </c>
      <c r="Q472" s="161"/>
    </row>
    <row r="473" spans="1:17" x14ac:dyDescent="0.25">
      <c r="A473">
        <f t="shared" si="56"/>
        <v>5.3199999999999301</v>
      </c>
      <c r="B473">
        <f>Main!$B$19/A473</f>
        <v>0.9398496240601627</v>
      </c>
      <c r="D473" s="161">
        <f t="shared" si="57"/>
        <v>0.9398496240601627</v>
      </c>
      <c r="E473" s="161">
        <f>-B473*Main!$B$18-2*Main!$B$18*loop_gain!$B$17*loop_gain!$B$18</f>
        <v>-177.59819548872196</v>
      </c>
      <c r="F473" s="161">
        <f>2*Main!$B$18*loop_gain!$B$17*loop_gain!$B$18*Helper_calcs!$B$14*Current_limit!B473</f>
        <v>609.63157894737628</v>
      </c>
      <c r="G473" s="161">
        <f t="shared" si="59"/>
        <v>3.4973749101533729</v>
      </c>
      <c r="H473" s="161">
        <f>(Main!$B$18-Current_limit!G473)*Current_limit!G473/(Main!$B$18*loop_gain!$B$17*loop_gain!$B$18)</f>
        <v>0.35758619119372492</v>
      </c>
      <c r="I473" s="161">
        <f t="shared" si="60"/>
        <v>3.5424138088062773</v>
      </c>
      <c r="J473" s="161"/>
      <c r="K473" s="163">
        <f>IF(A473&gt;$B$15,IF(I473&gt;Helper_calcs!$B$15,23,3),0)</f>
        <v>23</v>
      </c>
      <c r="L473" s="162">
        <f t="shared" si="58"/>
        <v>2</v>
      </c>
      <c r="M473" s="162">
        <f t="shared" si="61"/>
        <v>2</v>
      </c>
      <c r="N473" s="161">
        <f t="shared" si="62"/>
        <v>3.55</v>
      </c>
      <c r="O473" s="161">
        <f t="shared" si="63"/>
        <v>3.3364661654135772</v>
      </c>
      <c r="P473" s="149">
        <f>IF(OR(M473=0,M473=3),loop_gain!$B$18,IF(Current_limit!M473=1,Current_limit!$B$12/(2*(Current_limit!N473-Helper_calcs!$B$15)),IF(OR(M473=2,M473=23),(Main!$B$18-Current_limit!O473)*Current_limit!O473/(Main!$B$18*loop_gain!$B$17*(Helper_calcs!$B$14-Helper_calcs!$B$15)),x)))</f>
        <v>1042770.1122659941</v>
      </c>
      <c r="Q473" s="161"/>
    </row>
    <row r="474" spans="1:17" x14ac:dyDescent="0.25">
      <c r="A474">
        <f t="shared" si="56"/>
        <v>5.3299999999999299</v>
      </c>
      <c r="B474">
        <f>Main!$B$19/A474</f>
        <v>0.93808630393997483</v>
      </c>
      <c r="D474" s="161">
        <f t="shared" si="57"/>
        <v>0.93808630393997483</v>
      </c>
      <c r="E474" s="161">
        <f>-B474*Main!$B$18-2*Main!$B$18*loop_gain!$B$17*loop_gain!$B$18</f>
        <v>-177.5770356472797</v>
      </c>
      <c r="F474" s="161">
        <f>2*Main!$B$18*loop_gain!$B$17*loop_gain!$B$18*Helper_calcs!$B$14*Current_limit!B474</f>
        <v>608.48780487805675</v>
      </c>
      <c r="G474" s="161">
        <f t="shared" si="59"/>
        <v>3.4909936104040553</v>
      </c>
      <c r="H474" s="161">
        <f>(Main!$B$18-Current_limit!G474)*Current_limit!G474/(Main!$B$18*loop_gain!$B$17*loop_gain!$B$18)</f>
        <v>0.35720162261864741</v>
      </c>
      <c r="I474" s="161">
        <f t="shared" si="60"/>
        <v>3.5427983773813505</v>
      </c>
      <c r="J474" s="161"/>
      <c r="K474" s="163">
        <f>IF(A474&gt;$B$15,IF(I474&gt;Helper_calcs!$B$15,23,3),0)</f>
        <v>23</v>
      </c>
      <c r="L474" s="162">
        <f t="shared" si="58"/>
        <v>2</v>
      </c>
      <c r="M474" s="162">
        <f t="shared" si="61"/>
        <v>2</v>
      </c>
      <c r="N474" s="161">
        <f t="shared" si="62"/>
        <v>3.55</v>
      </c>
      <c r="O474" s="161">
        <f t="shared" si="63"/>
        <v>3.3302063789869103</v>
      </c>
      <c r="P474" s="149">
        <f>IF(OR(M474=0,M474=3),loop_gain!$B$18,IF(Current_limit!M474=1,Current_limit!$B$12/(2*(Current_limit!N474-Helper_calcs!$B$15)),IF(OR(M474=2,M474=23),(Main!$B$18-Current_limit!O474)*Current_limit!O474/(Main!$B$18*loop_gain!$B$17*(Helper_calcs!$B$14-Helper_calcs!$B$15)),x)))</f>
        <v>1041565.7294804411</v>
      </c>
      <c r="Q474" s="161"/>
    </row>
    <row r="475" spans="1:17" x14ac:dyDescent="0.25">
      <c r="A475">
        <f t="shared" si="56"/>
        <v>5.3399999999999297</v>
      </c>
      <c r="B475">
        <f>Main!$B$19/A475</f>
        <v>0.93632958801499355</v>
      </c>
      <c r="D475" s="161">
        <f t="shared" si="57"/>
        <v>0.93632958801499355</v>
      </c>
      <c r="E475" s="161">
        <f>-B475*Main!$B$18-2*Main!$B$18*loop_gain!$B$17*loop_gain!$B$18</f>
        <v>-177.55595505617993</v>
      </c>
      <c r="F475" s="161">
        <f>2*Main!$B$18*loop_gain!$B$17*loop_gain!$B$18*Helper_calcs!$B$14*Current_limit!B475</f>
        <v>607.34831460674945</v>
      </c>
      <c r="G475" s="161">
        <f t="shared" si="59"/>
        <v>3.4846359982762825</v>
      </c>
      <c r="H475" s="161">
        <f>(Main!$B$18-Current_limit!G475)*Current_limit!G475/(Main!$B$18*loop_gain!$B$17*loop_gain!$B$18)</f>
        <v>0.35681750768196785</v>
      </c>
      <c r="I475" s="161">
        <f t="shared" si="60"/>
        <v>3.5431824923180368</v>
      </c>
      <c r="J475" s="161"/>
      <c r="K475" s="163">
        <f>IF(A475&gt;$B$15,IF(I475&gt;Helper_calcs!$B$15,23,3),0)</f>
        <v>23</v>
      </c>
      <c r="L475" s="162">
        <f t="shared" si="58"/>
        <v>2</v>
      </c>
      <c r="M475" s="162">
        <f t="shared" si="61"/>
        <v>2</v>
      </c>
      <c r="N475" s="161">
        <f t="shared" si="62"/>
        <v>3.55</v>
      </c>
      <c r="O475" s="161">
        <f t="shared" si="63"/>
        <v>3.3239700374532268</v>
      </c>
      <c r="P475" s="149">
        <f>IF(OR(M475=0,M475=3),loop_gain!$B$18,IF(Current_limit!M475=1,Current_limit!$B$12/(2*(Current_limit!N475-Helper_calcs!$B$15)),IF(OR(M475=2,M475=23),(Main!$B$18-Current_limit!O475)*Current_limit!O475/(Main!$B$18*loop_gain!$B$17*(Helper_calcs!$B$14-Helper_calcs!$B$15)),x)))</f>
        <v>1040363.0461598819</v>
      </c>
      <c r="Q475" s="161"/>
    </row>
    <row r="476" spans="1:17" x14ac:dyDescent="0.25">
      <c r="A476">
        <f t="shared" si="56"/>
        <v>5.3499999999999295</v>
      </c>
      <c r="B476">
        <f>Main!$B$19/A476</f>
        <v>0.93457943925234876</v>
      </c>
      <c r="D476" s="161">
        <f t="shared" si="57"/>
        <v>0.93457943925234876</v>
      </c>
      <c r="E476" s="161">
        <f>-B476*Main!$B$18-2*Main!$B$18*loop_gain!$B$17*loop_gain!$B$18</f>
        <v>-177.53495327102817</v>
      </c>
      <c r="F476" s="161">
        <f>2*Main!$B$18*loop_gain!$B$17*loop_gain!$B$18*Helper_calcs!$B$14*Current_limit!B476</f>
        <v>606.21308411215739</v>
      </c>
      <c r="G476" s="161">
        <f t="shared" si="59"/>
        <v>3.4783019396653603</v>
      </c>
      <c r="H476" s="161">
        <f>(Main!$B$18-Current_limit!G476)*Current_limit!G476/(Main!$B$18*loop_gain!$B$17*loop_gain!$B$18)</f>
        <v>0.3564338491162159</v>
      </c>
      <c r="I476" s="161">
        <f t="shared" si="60"/>
        <v>3.5435661508837786</v>
      </c>
      <c r="J476" s="161"/>
      <c r="K476" s="163">
        <f>IF(A476&gt;$B$15,IF(I476&gt;Helper_calcs!$B$15,23,3),0)</f>
        <v>23</v>
      </c>
      <c r="L476" s="162">
        <f t="shared" si="58"/>
        <v>2</v>
      </c>
      <c r="M476" s="162">
        <f t="shared" si="61"/>
        <v>2</v>
      </c>
      <c r="N476" s="161">
        <f t="shared" si="62"/>
        <v>3.55</v>
      </c>
      <c r="O476" s="161">
        <f t="shared" si="63"/>
        <v>3.3177570093458382</v>
      </c>
      <c r="P476" s="149">
        <f>IF(OR(M476=0,M476=3),loop_gain!$B$18,IF(Current_limit!M476=1,Current_limit!$B$12/(2*(Current_limit!N476-Helper_calcs!$B$15)),IF(OR(M476=2,M476=23),(Main!$B$18-Current_limit!O476)*Current_limit!O476/(Main!$B$18*loop_gain!$B$17*(Helper_calcs!$B$14-Helper_calcs!$B$15)),x)))</f>
        <v>1039162.0685096188</v>
      </c>
      <c r="Q476" s="161"/>
    </row>
    <row r="477" spans="1:17" x14ac:dyDescent="0.25">
      <c r="A477">
        <f t="shared" si="56"/>
        <v>5.3599999999999293</v>
      </c>
      <c r="B477">
        <f>Main!$B$19/A477</f>
        <v>0.93283582089553474</v>
      </c>
      <c r="D477" s="161">
        <f t="shared" si="57"/>
        <v>0.93283582089553474</v>
      </c>
      <c r="E477" s="161">
        <f>-B477*Main!$B$18-2*Main!$B$18*loop_gain!$B$17*loop_gain!$B$18</f>
        <v>-177.5140298507464</v>
      </c>
      <c r="F477" s="161">
        <f>2*Main!$B$18*loop_gain!$B$17*loop_gain!$B$18*Helper_calcs!$B$14*Current_limit!B477</f>
        <v>605.08208955224677</v>
      </c>
      <c r="G477" s="161">
        <f t="shared" si="59"/>
        <v>3.4719913014951271</v>
      </c>
      <c r="H477" s="161">
        <f>(Main!$B$18-Current_limit!G477)*Current_limit!G477/(Main!$B$18*loop_gain!$B$17*loop_gain!$B$18)</f>
        <v>0.35605064959456112</v>
      </c>
      <c r="I477" s="161">
        <f t="shared" si="60"/>
        <v>3.5439493504054465</v>
      </c>
      <c r="J477" s="161"/>
      <c r="K477" s="163">
        <f>IF(A477&gt;$B$15,IF(I477&gt;Helper_calcs!$B$15,23,3),0)</f>
        <v>23</v>
      </c>
      <c r="L477" s="162">
        <f t="shared" si="58"/>
        <v>2</v>
      </c>
      <c r="M477" s="162">
        <f t="shared" si="61"/>
        <v>2</v>
      </c>
      <c r="N477" s="161">
        <f t="shared" si="62"/>
        <v>3.55</v>
      </c>
      <c r="O477" s="161">
        <f t="shared" si="63"/>
        <v>3.3115671641791482</v>
      </c>
      <c r="P477" s="149">
        <f>IF(OR(M477=0,M477=3),loop_gain!$B$18,IF(Current_limit!M477=1,Current_limit!$B$12/(2*(Current_limit!N477-Helper_calcs!$B$15)),IF(OR(M477=2,M477=23),(Main!$B$18-Current_limit!O477)*Current_limit!O477/(Main!$B$18*loop_gain!$B$17*(Helper_calcs!$B$14-Helper_calcs!$B$15)),x)))</f>
        <v>1037962.8025714381</v>
      </c>
      <c r="Q477" s="161"/>
    </row>
    <row r="478" spans="1:17" x14ac:dyDescent="0.25">
      <c r="A478">
        <f t="shared" si="56"/>
        <v>5.3699999999999291</v>
      </c>
      <c r="B478">
        <f>Main!$B$19/A478</f>
        <v>0.93109869646183729</v>
      </c>
      <c r="D478" s="161">
        <f t="shared" si="57"/>
        <v>0.93109869646183729</v>
      </c>
      <c r="E478" s="161">
        <f>-B478*Main!$B$18-2*Main!$B$18*loop_gain!$B$17*loop_gain!$B$18</f>
        <v>-177.49318435754205</v>
      </c>
      <c r="F478" s="161">
        <f>2*Main!$B$18*loop_gain!$B$17*loop_gain!$B$18*Helper_calcs!$B$14*Current_limit!B478</f>
        <v>603.95530726257778</v>
      </c>
      <c r="G478" s="161">
        <f t="shared" si="59"/>
        <v>3.4657039517078121</v>
      </c>
      <c r="H478" s="161">
        <f>(Main!$B$18-Current_limit!G478)*Current_limit!G478/(Main!$B$18*loop_gain!$B$17*loop_gain!$B$18)</f>
        <v>0.35566791173172918</v>
      </c>
      <c r="I478" s="161">
        <f t="shared" si="60"/>
        <v>3.5443320882682761</v>
      </c>
      <c r="J478" s="161"/>
      <c r="K478" s="163">
        <f>IF(A478&gt;$B$15,IF(I478&gt;Helper_calcs!$B$15,23,3),0)</f>
        <v>23</v>
      </c>
      <c r="L478" s="162">
        <f t="shared" si="58"/>
        <v>2</v>
      </c>
      <c r="M478" s="162">
        <f t="shared" si="61"/>
        <v>2</v>
      </c>
      <c r="N478" s="161">
        <f t="shared" si="62"/>
        <v>3.55</v>
      </c>
      <c r="O478" s="161">
        <f t="shared" si="63"/>
        <v>3.3054003724395224</v>
      </c>
      <c r="P478" s="149">
        <f>IF(OR(M478=0,M478=3),loop_gain!$B$18,IF(Current_limit!M478=1,Current_limit!$B$12/(2*(Current_limit!N478-Helper_calcs!$B$15)),IF(OR(M478=2,M478=23),(Main!$B$18-Current_limit!O478)*Current_limit!O478/(Main!$B$18*loop_gain!$B$17*(Helper_calcs!$B$14-Helper_calcs!$B$15)),x)))</f>
        <v>1036765.2542262247</v>
      </c>
      <c r="Q478" s="161"/>
    </row>
    <row r="479" spans="1:17" x14ac:dyDescent="0.25">
      <c r="A479">
        <f t="shared" si="56"/>
        <v>5.3799999999999288</v>
      </c>
      <c r="B479">
        <f>Main!$B$19/A479</f>
        <v>0.92936802973978927</v>
      </c>
      <c r="D479" s="161">
        <f t="shared" si="57"/>
        <v>0.92936802973978927</v>
      </c>
      <c r="E479" s="161">
        <f>-B479*Main!$B$18-2*Main!$B$18*loop_gain!$B$17*loop_gain!$B$18</f>
        <v>-177.47241635687746</v>
      </c>
      <c r="F479" s="161">
        <f>2*Main!$B$18*loop_gain!$B$17*loop_gain!$B$18*Helper_calcs!$B$14*Current_limit!B479</f>
        <v>602.83271375465472</v>
      </c>
      <c r="G479" s="161">
        <f t="shared" si="59"/>
        <v>3.4594397592542601</v>
      </c>
      <c r="H479" s="161">
        <f>(Main!$B$18-Current_limit!G479)*Current_limit!G479/(Main!$B$18*loop_gain!$B$17*loop_gain!$B$18)</f>
        <v>0.35528563808492009</v>
      </c>
      <c r="I479" s="161">
        <f t="shared" si="60"/>
        <v>3.5447143619150743</v>
      </c>
      <c r="J479" s="161"/>
      <c r="K479" s="163">
        <f>IF(A479&gt;$B$15,IF(I479&gt;Helper_calcs!$B$15,23,3),0)</f>
        <v>23</v>
      </c>
      <c r="L479" s="162">
        <f t="shared" si="58"/>
        <v>2</v>
      </c>
      <c r="M479" s="162">
        <f t="shared" si="61"/>
        <v>2</v>
      </c>
      <c r="N479" s="161">
        <f t="shared" si="62"/>
        <v>3.55</v>
      </c>
      <c r="O479" s="161">
        <f t="shared" si="63"/>
        <v>3.2992565055762517</v>
      </c>
      <c r="P479" s="149">
        <f>IF(OR(M479=0,M479=3),loop_gain!$B$18,IF(Current_limit!M479=1,Current_limit!$B$12/(2*(Current_limit!N479-Helper_calcs!$B$15)),IF(OR(M479=2,M479=23),(Main!$B$18-Current_limit!O479)*Current_limit!O479/(Main!$B$18*loop_gain!$B$17*(Helper_calcs!$B$14-Helper_calcs!$B$15)),x)))</f>
        <v>1035569.4291965299</v>
      </c>
      <c r="Q479" s="161"/>
    </row>
    <row r="480" spans="1:17" x14ac:dyDescent="0.25">
      <c r="A480">
        <f t="shared" si="56"/>
        <v>5.3899999999999286</v>
      </c>
      <c r="B480">
        <f>Main!$B$19/A480</f>
        <v>0.92764378478665421</v>
      </c>
      <c r="D480" s="161">
        <f t="shared" si="57"/>
        <v>0.92764378478665421</v>
      </c>
      <c r="E480" s="161">
        <f>-B480*Main!$B$18-2*Main!$B$18*loop_gain!$B$17*loop_gain!$B$18</f>
        <v>-177.45172541743983</v>
      </c>
      <c r="F480" s="161">
        <f>2*Main!$B$18*loop_gain!$B$17*loop_gain!$B$18*Helper_calcs!$B$14*Current_limit!B480</f>
        <v>601.71428571429362</v>
      </c>
      <c r="G480" s="161">
        <f t="shared" si="59"/>
        <v>3.453198594084129</v>
      </c>
      <c r="H480" s="161">
        <f>(Main!$B$18-Current_limit!G480)*Current_limit!G480/(Main!$B$18*loop_gain!$B$17*loop_gain!$B$18)</f>
        <v>0.35490383115470114</v>
      </c>
      <c r="I480" s="161">
        <f t="shared" si="60"/>
        <v>3.5450961688452916</v>
      </c>
      <c r="J480" s="161"/>
      <c r="K480" s="163">
        <f>IF(A480&gt;$B$15,IF(I480&gt;Helper_calcs!$B$15,23,3),0)</f>
        <v>23</v>
      </c>
      <c r="L480" s="162">
        <f t="shared" si="58"/>
        <v>2</v>
      </c>
      <c r="M480" s="162">
        <f t="shared" si="61"/>
        <v>2</v>
      </c>
      <c r="N480" s="161">
        <f t="shared" si="62"/>
        <v>3.55</v>
      </c>
      <c r="O480" s="161">
        <f t="shared" si="63"/>
        <v>3.2931354359926224</v>
      </c>
      <c r="P480" s="149">
        <f>IF(OR(M480=0,M480=3),loop_gain!$B$18,IF(Current_limit!M480=1,Current_limit!$B$12/(2*(Current_limit!N480-Helper_calcs!$B$15)),IF(OR(M480=2,M480=23),(Main!$B$18-Current_limit!O480)*Current_limit!O480/(Main!$B$18*loop_gain!$B$17*(Helper_calcs!$B$14-Helper_calcs!$B$15)),x)))</f>
        <v>1034375.333049104</v>
      </c>
      <c r="Q480" s="161"/>
    </row>
    <row r="481" spans="1:17" x14ac:dyDescent="0.25">
      <c r="A481">
        <f t="shared" ref="A481:A544" si="64">A480+0.01</f>
        <v>5.3999999999999284</v>
      </c>
      <c r="B481">
        <f>Main!$B$19/A481</f>
        <v>0.92592592592593825</v>
      </c>
      <c r="D481" s="161">
        <f t="shared" si="57"/>
        <v>0.92592592592593825</v>
      </c>
      <c r="E481" s="161">
        <f>-B481*Main!$B$18-2*Main!$B$18*loop_gain!$B$17*loop_gain!$B$18</f>
        <v>-177.43111111111125</v>
      </c>
      <c r="F481" s="161">
        <f>2*Main!$B$18*loop_gain!$B$17*loop_gain!$B$18*Helper_calcs!$B$14*Current_limit!B481</f>
        <v>600.60000000000787</v>
      </c>
      <c r="G481" s="161">
        <f t="shared" si="59"/>
        <v>3.4469803271362101</v>
      </c>
      <c r="H481" s="161">
        <f>(Main!$B$18-Current_limit!G481)*Current_limit!G481/(Main!$B$18*loop_gain!$B$17*loop_gain!$B$18)</f>
        <v>0.35452249338588826</v>
      </c>
      <c r="I481" s="161">
        <f t="shared" si="60"/>
        <v>3.5454775066141133</v>
      </c>
      <c r="J481" s="161"/>
      <c r="K481" s="163">
        <f>IF(A481&gt;$B$15,IF(I481&gt;Helper_calcs!$B$15,23,3),0)</f>
        <v>23</v>
      </c>
      <c r="L481" s="162">
        <f t="shared" si="58"/>
        <v>2</v>
      </c>
      <c r="M481" s="162">
        <f t="shared" si="61"/>
        <v>2</v>
      </c>
      <c r="N481" s="161">
        <f t="shared" si="62"/>
        <v>3.55</v>
      </c>
      <c r="O481" s="161">
        <f t="shared" si="63"/>
        <v>3.2870370370370807</v>
      </c>
      <c r="P481" s="149">
        <f>IF(OR(M481=0,M481=3),loop_gain!$B$18,IF(Current_limit!M481=1,Current_limit!$B$12/(2*(Current_limit!N481-Helper_calcs!$B$15)),IF(OR(M481=2,M481=23),(Main!$B$18-Current_limit!O481)*Current_limit!O481/(Main!$B$18*loop_gain!$B$17*(Helper_calcs!$B$14-Helper_calcs!$B$15)),x)))</f>
        <v>1033182.9711973835</v>
      </c>
      <c r="Q481" s="161"/>
    </row>
    <row r="482" spans="1:17" x14ac:dyDescent="0.25">
      <c r="A482">
        <f t="shared" si="64"/>
        <v>5.4099999999999282</v>
      </c>
      <c r="B482">
        <f>Main!$B$19/A482</f>
        <v>0.92421441774492907</v>
      </c>
      <c r="D482" s="161">
        <f t="shared" si="57"/>
        <v>0.92421441774492907</v>
      </c>
      <c r="E482" s="161">
        <f>-B482*Main!$B$18-2*Main!$B$18*loop_gain!$B$17*loop_gain!$B$18</f>
        <v>-177.41057301293915</v>
      </c>
      <c r="F482" s="161">
        <f>2*Main!$B$18*loop_gain!$B$17*loop_gain!$B$18*Helper_calcs!$B$14*Current_limit!B482</f>
        <v>599.4898336414127</v>
      </c>
      <c r="G482" s="161">
        <f t="shared" si="59"/>
        <v>3.4407848303288753</v>
      </c>
      <c r="H482" s="161">
        <f>(Main!$B$18-Current_limit!G482)*Current_limit!G482/(Main!$B$18*loop_gain!$B$17*loop_gain!$B$18)</f>
        <v>0.35414162716841269</v>
      </c>
      <c r="I482" s="161">
        <f t="shared" si="60"/>
        <v>3.5458583728315873</v>
      </c>
      <c r="J482" s="161"/>
      <c r="K482" s="163">
        <f>IF(A482&gt;$B$15,IF(I482&gt;Helper_calcs!$B$15,23,3),0)</f>
        <v>23</v>
      </c>
      <c r="L482" s="162">
        <f t="shared" si="58"/>
        <v>2</v>
      </c>
      <c r="M482" s="162">
        <f t="shared" si="61"/>
        <v>2</v>
      </c>
      <c r="N482" s="161">
        <f t="shared" si="62"/>
        <v>3.55</v>
      </c>
      <c r="O482" s="161">
        <f t="shared" si="63"/>
        <v>3.2809611829944982</v>
      </c>
      <c r="P482" s="149">
        <f>IF(OR(M482=0,M482=3),loop_gain!$B$18,IF(Current_limit!M482=1,Current_limit!$B$12/(2*(Current_limit!N482-Helper_calcs!$B$15)),IF(OR(M482=2,M482=23),(Main!$B$18-Current_limit!O482)*Current_limit!O482/(Main!$B$18*loop_gain!$B$17*(Helper_calcs!$B$14-Helper_calcs!$B$15)),x)))</f>
        <v>1031992.3489039441</v>
      </c>
      <c r="Q482" s="161"/>
    </row>
    <row r="483" spans="1:17" x14ac:dyDescent="0.25">
      <c r="A483">
        <f t="shared" si="64"/>
        <v>5.419999999999928</v>
      </c>
      <c r="B483">
        <f>Main!$B$19/A483</f>
        <v>0.92250922509226319</v>
      </c>
      <c r="D483" s="161">
        <f t="shared" si="57"/>
        <v>0.92250922509226319</v>
      </c>
      <c r="E483" s="161">
        <f>-B483*Main!$B$18-2*Main!$B$18*loop_gain!$B$17*loop_gain!$B$18</f>
        <v>-177.39011070110715</v>
      </c>
      <c r="F483" s="161">
        <f>2*Main!$B$18*loop_gain!$B$17*loop_gain!$B$18*Helper_calcs!$B$14*Current_limit!B483</f>
        <v>598.38376383764626</v>
      </c>
      <c r="G483" s="161">
        <f t="shared" si="59"/>
        <v>3.4346119765506984</v>
      </c>
      <c r="H483" s="161">
        <f>(Main!$B$18-Current_limit!G483)*Current_limit!G483/(Main!$B$18*loop_gain!$B$17*loop_gain!$B$18)</f>
        <v>0.35376123483817806</v>
      </c>
      <c r="I483" s="161">
        <f t="shared" si="60"/>
        <v>3.5462387651618186</v>
      </c>
      <c r="J483" s="161"/>
      <c r="K483" s="163">
        <f>IF(A483&gt;$B$15,IF(I483&gt;Helper_calcs!$B$15,23,3),0)</f>
        <v>23</v>
      </c>
      <c r="L483" s="162">
        <f t="shared" si="58"/>
        <v>2</v>
      </c>
      <c r="M483" s="162">
        <f t="shared" si="61"/>
        <v>2</v>
      </c>
      <c r="N483" s="161">
        <f t="shared" si="62"/>
        <v>3.55</v>
      </c>
      <c r="O483" s="161">
        <f t="shared" si="63"/>
        <v>3.274907749077534</v>
      </c>
      <c r="P483" s="149">
        <f>IF(OR(M483=0,M483=3),loop_gain!$B$18,IF(Current_limit!M483=1,Current_limit!$B$12/(2*(Current_limit!N483-Helper_calcs!$B$15)),IF(OR(M483=2,M483=23),(Main!$B$18-Current_limit!O483)*Current_limit!O483/(Main!$B$18*loop_gain!$B$17*(Helper_calcs!$B$14-Helper_calcs!$B$15)),x)))</f>
        <v>1030803.4712829127</v>
      </c>
      <c r="Q483" s="161"/>
    </row>
    <row r="484" spans="1:17" x14ac:dyDescent="0.25">
      <c r="A484">
        <f t="shared" si="64"/>
        <v>5.4299999999999278</v>
      </c>
      <c r="B484">
        <f>Main!$B$19/A484</f>
        <v>0.92081031307551864</v>
      </c>
      <c r="D484" s="161">
        <f t="shared" si="57"/>
        <v>0.92081031307551864</v>
      </c>
      <c r="E484" s="161">
        <f>-B484*Main!$B$18-2*Main!$B$18*loop_gain!$B$17*loop_gain!$B$18</f>
        <v>-177.36972375690621</v>
      </c>
      <c r="F484" s="161">
        <f>2*Main!$B$18*loop_gain!$B$17*loop_gain!$B$18*Helper_calcs!$B$14*Current_limit!B484</f>
        <v>597.28176795580896</v>
      </c>
      <c r="G484" s="161">
        <f t="shared" si="59"/>
        <v>3.4284616396511005</v>
      </c>
      <c r="H484" s="161">
        <f>(Main!$B$18-Current_limit!G484)*Current_limit!G484/(Main!$B$18*loop_gain!$B$17*loop_gain!$B$18)</f>
        <v>0.35338131867789918</v>
      </c>
      <c r="I484" s="161">
        <f t="shared" si="60"/>
        <v>3.5466186813220966</v>
      </c>
      <c r="J484" s="161"/>
      <c r="K484" s="163">
        <f>IF(A484&gt;$B$15,IF(I484&gt;Helper_calcs!$B$15,23,3),0)</f>
        <v>23</v>
      </c>
      <c r="L484" s="162">
        <f t="shared" si="58"/>
        <v>2</v>
      </c>
      <c r="M484" s="162">
        <f t="shared" si="61"/>
        <v>2</v>
      </c>
      <c r="N484" s="161">
        <f t="shared" si="62"/>
        <v>3.55</v>
      </c>
      <c r="O484" s="161">
        <f t="shared" si="63"/>
        <v>3.2688766114180909</v>
      </c>
      <c r="P484" s="149">
        <f>IF(OR(M484=0,M484=3),loop_gain!$B$18,IF(Current_limit!M484=1,Current_limit!$B$12/(2*(Current_limit!N484-Helper_calcs!$B$15)),IF(OR(M484=2,M484=23),(Main!$B$18-Current_limit!O484)*Current_limit!O484/(Main!$B$18*loop_gain!$B$17*(Helper_calcs!$B$14-Helper_calcs!$B$15)),x)))</f>
        <v>1029616.3433023408</v>
      </c>
      <c r="Q484" s="161"/>
    </row>
    <row r="485" spans="1:17" x14ac:dyDescent="0.25">
      <c r="A485">
        <f t="shared" si="64"/>
        <v>5.4399999999999276</v>
      </c>
      <c r="B485">
        <f>Main!$B$19/A485</f>
        <v>0.91911764705883581</v>
      </c>
      <c r="D485" s="161">
        <f t="shared" si="57"/>
        <v>0.91911764705883581</v>
      </c>
      <c r="E485" s="161">
        <f>-B485*Main!$B$18-2*Main!$B$18*loop_gain!$B$17*loop_gain!$B$18</f>
        <v>-177.34941176470602</v>
      </c>
      <c r="F485" s="161">
        <f>2*Main!$B$18*loop_gain!$B$17*loop_gain!$B$18*Helper_calcs!$B$14*Current_limit!B485</f>
        <v>596.18382352941967</v>
      </c>
      <c r="G485" s="161">
        <f t="shared" si="59"/>
        <v>3.4223336944311411</v>
      </c>
      <c r="H485" s="161">
        <f>(Main!$B$18-Current_limit!G485)*Current_limit!G485/(Main!$B$18*loop_gain!$B$17*loop_gain!$B$18)</f>
        <v>0.35300188091792917</v>
      </c>
      <c r="I485" s="161">
        <f t="shared" si="60"/>
        <v>3.5469981190820672</v>
      </c>
      <c r="J485" s="161"/>
      <c r="K485" s="163">
        <f>IF(A485&gt;$B$15,IF(I485&gt;Helper_calcs!$B$15,23,3),0)</f>
        <v>23</v>
      </c>
      <c r="L485" s="162">
        <f t="shared" si="58"/>
        <v>2</v>
      </c>
      <c r="M485" s="162">
        <f t="shared" si="61"/>
        <v>2</v>
      </c>
      <c r="N485" s="161">
        <f t="shared" si="62"/>
        <v>3.55</v>
      </c>
      <c r="O485" s="161">
        <f t="shared" si="63"/>
        <v>3.2628676470588669</v>
      </c>
      <c r="P485" s="149">
        <f>IF(OR(M485=0,M485=3),loop_gain!$B$18,IF(Current_limit!M485=1,Current_limit!$B$12/(2*(Current_limit!N485-Helper_calcs!$B$15)),IF(OR(M485=2,M485=23),(Main!$B$18-Current_limit!O485)*Current_limit!O485/(Main!$B$18*loop_gain!$B$17*(Helper_calcs!$B$14-Helper_calcs!$B$15)),x)))</f>
        <v>1028430.9697865421</v>
      </c>
      <c r="Q485" s="161"/>
    </row>
    <row r="486" spans="1:17" x14ac:dyDescent="0.25">
      <c r="A486">
        <f t="shared" si="64"/>
        <v>5.4499999999999273</v>
      </c>
      <c r="B486">
        <f>Main!$B$19/A486</f>
        <v>0.91743119266056272</v>
      </c>
      <c r="D486" s="161">
        <f t="shared" si="57"/>
        <v>0.91743119266056272</v>
      </c>
      <c r="E486" s="161">
        <f>-B486*Main!$B$18-2*Main!$B$18*loop_gain!$B$17*loop_gain!$B$18</f>
        <v>-177.32917431192675</v>
      </c>
      <c r="F486" s="161">
        <f>2*Main!$B$18*loop_gain!$B$17*loop_gain!$B$18*Helper_calcs!$B$14*Current_limit!B486</f>
        <v>595.08990825688863</v>
      </c>
      <c r="G486" s="161">
        <f t="shared" si="59"/>
        <v>3.4162280166344123</v>
      </c>
      <c r="H486" s="161">
        <f>(Main!$B$18-Current_limit!G486)*Current_limit!G486/(Main!$B$18*loop_gain!$B$17*loop_gain!$B$18)</f>
        <v>0.35262292373707377</v>
      </c>
      <c r="I486" s="161">
        <f t="shared" si="60"/>
        <v>3.5473770762629226</v>
      </c>
      <c r="J486" s="161"/>
      <c r="K486" s="163">
        <f>IF(A486&gt;$B$15,IF(I486&gt;Helper_calcs!$B$15,23,3),0)</f>
        <v>23</v>
      </c>
      <c r="L486" s="162">
        <f t="shared" si="58"/>
        <v>2</v>
      </c>
      <c r="M486" s="162">
        <f t="shared" si="61"/>
        <v>2</v>
      </c>
      <c r="N486" s="161">
        <f t="shared" si="62"/>
        <v>3.55</v>
      </c>
      <c r="O486" s="161">
        <f t="shared" si="63"/>
        <v>3.2568807339449974</v>
      </c>
      <c r="P486" s="149">
        <f>IF(OR(M486=0,M486=3),loop_gain!$B$18,IF(Current_limit!M486=1,Current_limit!$B$12/(2*(Current_limit!N486-Helper_calcs!$B$15)),IF(OR(M486=2,M486=23),(Main!$B$18-Current_limit!O486)*Current_limit!O486/(Main!$B$18*loop_gain!$B$17*(Helper_calcs!$B$14-Helper_calcs!$B$15)),x)))</f>
        <v>1027247.3554183937</v>
      </c>
      <c r="Q486" s="161"/>
    </row>
    <row r="487" spans="1:17" x14ac:dyDescent="0.25">
      <c r="A487">
        <f t="shared" si="64"/>
        <v>5.4599999999999271</v>
      </c>
      <c r="B487">
        <f>Main!$B$19/A487</f>
        <v>0.91575091575092793</v>
      </c>
      <c r="D487" s="161">
        <f t="shared" si="57"/>
        <v>0.91575091575092793</v>
      </c>
      <c r="E487" s="161">
        <f>-B487*Main!$B$18-2*Main!$B$18*loop_gain!$B$17*loop_gain!$B$18</f>
        <v>-177.30901098901114</v>
      </c>
      <c r="F487" s="161">
        <f>2*Main!$B$18*loop_gain!$B$17*loop_gain!$B$18*Helper_calcs!$B$14*Current_limit!B487</f>
        <v>594.00000000000784</v>
      </c>
      <c r="G487" s="161">
        <f t="shared" si="59"/>
        <v>3.4101444829380503</v>
      </c>
      <c r="H487" s="161">
        <f>(Main!$B$18-Current_limit!G487)*Current_limit!G487/(Main!$B$18*loop_gain!$B$17*loop_gain!$B$18)</f>
        <v>0.35224444926339321</v>
      </c>
      <c r="I487" s="161">
        <f t="shared" si="60"/>
        <v>3.5477555507366048</v>
      </c>
      <c r="J487" s="161"/>
      <c r="K487" s="163">
        <f>IF(A487&gt;$B$15,IF(I487&gt;Helper_calcs!$B$15,23,3),0)</f>
        <v>23</v>
      </c>
      <c r="L487" s="162">
        <f t="shared" si="58"/>
        <v>2</v>
      </c>
      <c r="M487" s="162">
        <f t="shared" si="61"/>
        <v>2</v>
      </c>
      <c r="N487" s="161">
        <f t="shared" si="62"/>
        <v>3.55</v>
      </c>
      <c r="O487" s="161">
        <f t="shared" si="63"/>
        <v>3.250915750915794</v>
      </c>
      <c r="P487" s="149">
        <f>IF(OR(M487=0,M487=3),loop_gain!$B$18,IF(Current_limit!M487=1,Current_limit!$B$12/(2*(Current_limit!N487-Helper_calcs!$B$15)),IF(OR(M487=2,M487=23),(Main!$B$18-Current_limit!O487)*Current_limit!O487/(Main!$B$18*loop_gain!$B$17*(Helper_calcs!$B$14-Helper_calcs!$B$15)),x)))</f>
        <v>1026065.5047415996</v>
      </c>
      <c r="Q487" s="161"/>
    </row>
    <row r="488" spans="1:17" x14ac:dyDescent="0.25">
      <c r="A488">
        <f t="shared" si="64"/>
        <v>5.4699999999999269</v>
      </c>
      <c r="B488">
        <f>Main!$B$19/A488</f>
        <v>0.914076782449738</v>
      </c>
      <c r="D488" s="161">
        <f t="shared" si="57"/>
        <v>0.914076782449738</v>
      </c>
      <c r="E488" s="161">
        <f>-B488*Main!$B$18-2*Main!$B$18*loop_gain!$B$17*loop_gain!$B$18</f>
        <v>-177.28892138939685</v>
      </c>
      <c r="F488" s="161">
        <f>2*Main!$B$18*loop_gain!$B$17*loop_gain!$B$18*Helper_calcs!$B$14*Current_limit!B488</f>
        <v>592.91407678245753</v>
      </c>
      <c r="G488" s="161">
        <f t="shared" si="59"/>
        <v>3.4040829709438349</v>
      </c>
      <c r="H488" s="161">
        <f>(Main!$B$18-Current_limit!G488)*Current_limit!G488/(Main!$B$18*loop_gain!$B$17*loop_gain!$B$18)</f>
        <v>0.35186645957499058</v>
      </c>
      <c r="I488" s="161">
        <f t="shared" si="60"/>
        <v>3.5481335404250101</v>
      </c>
      <c r="J488" s="161"/>
      <c r="K488" s="163">
        <f>IF(A488&gt;$B$15,IF(I488&gt;Helper_calcs!$B$15,23,3),0)</f>
        <v>23</v>
      </c>
      <c r="L488" s="162">
        <f t="shared" si="58"/>
        <v>2</v>
      </c>
      <c r="M488" s="162">
        <f t="shared" si="61"/>
        <v>2</v>
      </c>
      <c r="N488" s="161">
        <f t="shared" si="62"/>
        <v>3.55</v>
      </c>
      <c r="O488" s="161">
        <f t="shared" si="63"/>
        <v>3.2449725776965699</v>
      </c>
      <c r="P488" s="149">
        <f>IF(OR(M488=0,M488=3),loop_gain!$B$18,IF(Current_limit!M488=1,Current_limit!$B$12/(2*(Current_limit!N488-Helper_calcs!$B$15)),IF(OR(M488=2,M488=23),(Main!$B$18-Current_limit!O488)*Current_limit!O488/(Main!$B$18*loop_gain!$B$17*(Helper_calcs!$B$14-Helper_calcs!$B$15)),x)))</f>
        <v>1024885.4221629194</v>
      </c>
      <c r="Q488" s="161"/>
    </row>
    <row r="489" spans="1:17" x14ac:dyDescent="0.25">
      <c r="A489">
        <f t="shared" si="64"/>
        <v>5.4799999999999267</v>
      </c>
      <c r="B489">
        <f>Main!$B$19/A489</f>
        <v>0.9124087591240998</v>
      </c>
      <c r="D489" s="161">
        <f t="shared" si="57"/>
        <v>0.9124087591240998</v>
      </c>
      <c r="E489" s="161">
        <f>-B489*Main!$B$18-2*Main!$B$18*loop_gain!$B$17*loop_gain!$B$18</f>
        <v>-177.2689051094892</v>
      </c>
      <c r="F489" s="161">
        <f>2*Main!$B$18*loop_gain!$B$17*loop_gain!$B$18*Helper_calcs!$B$14*Current_limit!B489</f>
        <v>591.83211678832902</v>
      </c>
      <c r="G489" s="161">
        <f t="shared" si="59"/>
        <v>3.3980433591693986</v>
      </c>
      <c r="H489" s="161">
        <f>(Main!$B$18-Current_limit!G489)*Current_limit!G489/(Main!$B$18*loop_gain!$B$17*loop_gain!$B$18)</f>
        <v>0.351488956700788</v>
      </c>
      <c r="I489" s="161">
        <f t="shared" si="60"/>
        <v>3.5485110432992171</v>
      </c>
      <c r="J489" s="161"/>
      <c r="K489" s="163">
        <f>IF(A489&gt;$B$15,IF(I489&gt;Helper_calcs!$B$15,23,3),0)</f>
        <v>23</v>
      </c>
      <c r="L489" s="162">
        <f t="shared" si="58"/>
        <v>2</v>
      </c>
      <c r="M489" s="162">
        <f t="shared" si="61"/>
        <v>2</v>
      </c>
      <c r="N489" s="161">
        <f t="shared" si="62"/>
        <v>3.55</v>
      </c>
      <c r="O489" s="161">
        <f t="shared" si="63"/>
        <v>3.239051094890554</v>
      </c>
      <c r="P489" s="149">
        <f>IF(OR(M489=0,M489=3),loop_gain!$B$18,IF(Current_limit!M489=1,Current_limit!$B$12/(2*(Current_limit!N489-Helper_calcs!$B$15)),IF(OR(M489=2,M489=23),(Main!$B$18-Current_limit!O489)*Current_limit!O489/(Main!$B$18*loop_gain!$B$17*(Helper_calcs!$B$14-Helper_calcs!$B$15)),x)))</f>
        <v>1023707.1119543638</v>
      </c>
      <c r="Q489" s="161"/>
    </row>
    <row r="490" spans="1:17" x14ac:dyDescent="0.25">
      <c r="A490">
        <f t="shared" si="64"/>
        <v>5.4899999999999265</v>
      </c>
      <c r="B490">
        <f>Main!$B$19/A490</f>
        <v>0.91074681238616884</v>
      </c>
      <c r="D490" s="161">
        <f t="shared" si="57"/>
        <v>0.91074681238616884</v>
      </c>
      <c r="E490" s="161">
        <f>-B490*Main!$B$18-2*Main!$B$18*loop_gain!$B$17*loop_gain!$B$18</f>
        <v>-177.24896174863403</v>
      </c>
      <c r="F490" s="161">
        <f>2*Main!$B$18*loop_gain!$B$17*loop_gain!$B$18*Helper_calcs!$B$14*Current_limit!B490</f>
        <v>590.75409836066353</v>
      </c>
      <c r="G490" s="161">
        <f t="shared" si="59"/>
        <v>3.3920255270395319</v>
      </c>
      <c r="H490" s="161">
        <f>(Main!$B$18-Current_limit!G490)*Current_limit!G490/(Main!$B$18*loop_gain!$B$17*loop_gain!$B$18)</f>
        <v>0.35111194262129114</v>
      </c>
      <c r="I490" s="161">
        <f t="shared" si="60"/>
        <v>3.5488880573787109</v>
      </c>
      <c r="J490" s="161"/>
      <c r="K490" s="163">
        <f>IF(A490&gt;$B$15,IF(I490&gt;Helper_calcs!$B$15,23,3),0)</f>
        <v>23</v>
      </c>
      <c r="L490" s="162">
        <f t="shared" si="58"/>
        <v>2</v>
      </c>
      <c r="M490" s="162">
        <f t="shared" si="61"/>
        <v>2</v>
      </c>
      <c r="N490" s="161">
        <f t="shared" si="62"/>
        <v>3.55</v>
      </c>
      <c r="O490" s="161">
        <f t="shared" si="63"/>
        <v>3.2331511839708993</v>
      </c>
      <c r="P490" s="149">
        <f>IF(OR(M490=0,M490=3),loop_gain!$B$18,IF(Current_limit!M490=1,Current_limit!$B$12/(2*(Current_limit!N490-Helper_calcs!$B$15)),IF(OR(M490=2,M490=23),(Main!$B$18-Current_limit!O490)*Current_limit!O490/(Main!$B$18*loop_gain!$B$17*(Helper_calcs!$B$14-Helper_calcs!$B$15)),x)))</f>
        <v>1022530.5782553524</v>
      </c>
      <c r="Q490" s="161"/>
    </row>
    <row r="491" spans="1:17" x14ac:dyDescent="0.25">
      <c r="A491">
        <f t="shared" si="64"/>
        <v>5.4999999999999263</v>
      </c>
      <c r="B491">
        <f>Main!$B$19/A491</f>
        <v>0.90909090909092127</v>
      </c>
      <c r="D491" s="161">
        <f t="shared" si="57"/>
        <v>0.90909090909092127</v>
      </c>
      <c r="E491" s="161">
        <f>-B491*Main!$B$18-2*Main!$B$18*loop_gain!$B$17*loop_gain!$B$18</f>
        <v>-177.22909090909104</v>
      </c>
      <c r="F491" s="161">
        <f>2*Main!$B$18*loop_gain!$B$17*loop_gain!$B$18*Helper_calcs!$B$14*Current_limit!B491</f>
        <v>589.68000000000779</v>
      </c>
      <c r="G491" s="161">
        <f t="shared" si="59"/>
        <v>3.3860293548776226</v>
      </c>
      <c r="H491" s="161">
        <f>(Main!$B$18-Current_limit!G491)*Current_limit!G491/(Main!$B$18*loop_gain!$B$17*loop_gain!$B$18)</f>
        <v>0.35073541926934226</v>
      </c>
      <c r="I491" s="161">
        <f t="shared" si="60"/>
        <v>3.549264580730664</v>
      </c>
      <c r="J491" s="161"/>
      <c r="K491" s="163">
        <f>IF(A491&gt;$B$15,IF(I491&gt;Helper_calcs!$B$15,23,3),0)</f>
        <v>23</v>
      </c>
      <c r="L491" s="162">
        <f t="shared" si="58"/>
        <v>2</v>
      </c>
      <c r="M491" s="162">
        <f t="shared" si="61"/>
        <v>2</v>
      </c>
      <c r="N491" s="161">
        <f t="shared" si="62"/>
        <v>3.55</v>
      </c>
      <c r="O491" s="161">
        <f t="shared" si="63"/>
        <v>3.2272727272727701</v>
      </c>
      <c r="P491" s="149">
        <f>IF(OR(M491=0,M491=3),loop_gain!$B$18,IF(Current_limit!M491=1,Current_limit!$B$12/(2*(Current_limit!N491-Helper_calcs!$B$15)),IF(OR(M491=2,M491=23),(Main!$B$18-Current_limit!O491)*Current_limit!O491/(Main!$B$18*loop_gain!$B$17*(Helper_calcs!$B$14-Helper_calcs!$B$15)),x)))</f>
        <v>1021355.8250748425</v>
      </c>
      <c r="Q491" s="161"/>
    </row>
    <row r="492" spans="1:17" x14ac:dyDescent="0.25">
      <c r="A492">
        <f t="shared" si="64"/>
        <v>5.5099999999999261</v>
      </c>
      <c r="B492">
        <f>Main!$B$19/A492</f>
        <v>0.90744101633395047</v>
      </c>
      <c r="D492" s="161">
        <f t="shared" si="57"/>
        <v>0.90744101633395047</v>
      </c>
      <c r="E492" s="161">
        <f>-B492*Main!$B$18-2*Main!$B$18*loop_gain!$B$17*loop_gain!$B$18</f>
        <v>-177.2092921960074</v>
      </c>
      <c r="F492" s="161">
        <f>2*Main!$B$18*loop_gain!$B$17*loop_gain!$B$18*Helper_calcs!$B$14*Current_limit!B492</f>
        <v>588.60980036298417</v>
      </c>
      <c r="G492" s="161">
        <f t="shared" si="59"/>
        <v>3.3800547238971119</v>
      </c>
      <c r="H492" s="161">
        <f>(Main!$B$18-Current_limit!G492)*Current_limit!G492/(Main!$B$18*loop_gain!$B$17*loop_gain!$B$18)</f>
        <v>0.35035938853085813</v>
      </c>
      <c r="I492" s="161">
        <f t="shared" si="60"/>
        <v>3.5496406114691381</v>
      </c>
      <c r="J492" s="161"/>
      <c r="K492" s="163">
        <f>IF(A492&gt;$B$15,IF(I492&gt;Helper_calcs!$B$15,23,3),0)</f>
        <v>23</v>
      </c>
      <c r="L492" s="162">
        <f t="shared" si="58"/>
        <v>2</v>
      </c>
      <c r="M492" s="162">
        <f t="shared" si="61"/>
        <v>2</v>
      </c>
      <c r="N492" s="161">
        <f t="shared" si="62"/>
        <v>3.55</v>
      </c>
      <c r="O492" s="161">
        <f t="shared" si="63"/>
        <v>3.2214156079855241</v>
      </c>
      <c r="P492" s="149">
        <f>IF(OR(M492=0,M492=3),loop_gain!$B$18,IF(Current_limit!M492=1,Current_limit!$B$12/(2*(Current_limit!N492-Helper_calcs!$B$15)),IF(OR(M492=2,M492=23),(Main!$B$18-Current_limit!O492)*Current_limit!O492/(Main!$B$18*loop_gain!$B$17*(Helper_calcs!$B$14-Helper_calcs!$B$15)),x)))</f>
        <v>1020182.8562934184</v>
      </c>
      <c r="Q492" s="161"/>
    </row>
    <row r="493" spans="1:17" x14ac:dyDescent="0.25">
      <c r="A493">
        <f t="shared" si="64"/>
        <v>5.5199999999999259</v>
      </c>
      <c r="B493">
        <f>Main!$B$19/A493</f>
        <v>0.90579710144928749</v>
      </c>
      <c r="D493" s="161">
        <f t="shared" si="57"/>
        <v>0.90579710144928749</v>
      </c>
      <c r="E493" s="161">
        <f>-B493*Main!$B$18-2*Main!$B$18*loop_gain!$B$17*loop_gain!$B$18</f>
        <v>-177.18956521739145</v>
      </c>
      <c r="F493" s="161">
        <f>2*Main!$B$18*loop_gain!$B$17*loop_gain!$B$18*Helper_calcs!$B$14*Current_limit!B493</f>
        <v>587.54347826087735</v>
      </c>
      <c r="G493" s="161">
        <f t="shared" si="59"/>
        <v>3.374101516193174</v>
      </c>
      <c r="H493" s="161">
        <f>(Main!$B$18-Current_limit!G493)*Current_limit!G493/(Main!$B$18*loop_gain!$B$17*loop_gain!$B$18)</f>
        <v>0.34998385224556289</v>
      </c>
      <c r="I493" s="161">
        <f t="shared" si="60"/>
        <v>3.550016147754433</v>
      </c>
      <c r="J493" s="161"/>
      <c r="K493" s="163">
        <f>IF(A493&gt;$B$15,IF(I493&gt;Helper_calcs!$B$15,23,3),0)</f>
        <v>23</v>
      </c>
      <c r="L493" s="162">
        <f t="shared" si="58"/>
        <v>2</v>
      </c>
      <c r="M493" s="162">
        <f t="shared" si="61"/>
        <v>2</v>
      </c>
      <c r="N493" s="161">
        <f t="shared" si="62"/>
        <v>3.55</v>
      </c>
      <c r="O493" s="161">
        <f t="shared" si="63"/>
        <v>3.2155797101449703</v>
      </c>
      <c r="P493" s="149">
        <f>IF(OR(M493=0,M493=3),loop_gain!$B$18,IF(Current_limit!M493=1,Current_limit!$B$12/(2*(Current_limit!N493-Helper_calcs!$B$15)),IF(OR(M493=2,M493=23),(Main!$B$18-Current_limit!O493)*Current_limit!O493/(Main!$B$18*loop_gain!$B$17*(Helper_calcs!$B$14-Helper_calcs!$B$15)),x)))</f>
        <v>1019011.6756653552</v>
      </c>
      <c r="Q493" s="161"/>
    </row>
    <row r="494" spans="1:17" x14ac:dyDescent="0.25">
      <c r="A494">
        <f t="shared" si="64"/>
        <v>5.5299999999999256</v>
      </c>
      <c r="B494">
        <f>Main!$B$19/A494</f>
        <v>0.9041591320072454</v>
      </c>
      <c r="D494" s="161">
        <f t="shared" si="57"/>
        <v>0.9041591320072454</v>
      </c>
      <c r="E494" s="161">
        <f>-B494*Main!$B$18-2*Main!$B$18*loop_gain!$B$17*loop_gain!$B$18</f>
        <v>-177.16990958408695</v>
      </c>
      <c r="F494" s="161">
        <f>2*Main!$B$18*loop_gain!$B$17*loop_gain!$B$18*Helper_calcs!$B$14*Current_limit!B494</f>
        <v>586.48101265823561</v>
      </c>
      <c r="G494" s="161">
        <f t="shared" si="59"/>
        <v>3.3681696147343589</v>
      </c>
      <c r="H494" s="161">
        <f>(Main!$B$18-Current_limit!G494)*Current_limit!G494/(Main!$B$18*loop_gain!$B$17*loop_gain!$B$18)</f>
        <v>0.34960881220770212</v>
      </c>
      <c r="I494" s="161">
        <f t="shared" si="60"/>
        <v>3.5503911877923002</v>
      </c>
      <c r="J494" s="161"/>
      <c r="K494" s="163">
        <f>IF(A494&gt;$B$15,IF(I494&gt;Helper_calcs!$B$15,23,3),0)</f>
        <v>23</v>
      </c>
      <c r="L494" s="162">
        <f t="shared" si="58"/>
        <v>2</v>
      </c>
      <c r="M494" s="162">
        <f t="shared" si="61"/>
        <v>2</v>
      </c>
      <c r="N494" s="161">
        <f t="shared" si="62"/>
        <v>3.55</v>
      </c>
      <c r="O494" s="161">
        <f t="shared" si="63"/>
        <v>3.2097649186257211</v>
      </c>
      <c r="P494" s="149">
        <f>IF(OR(M494=0,M494=3),loop_gain!$B$18,IF(Current_limit!M494=1,Current_limit!$B$12/(2*(Current_limit!N494-Helper_calcs!$B$15)),IF(OR(M494=2,M494=23),(Main!$B$18-Current_limit!O494)*Current_limit!O494/(Main!$B$18*loop_gain!$B$17*(Helper_calcs!$B$14-Helper_calcs!$B$15)),x)))</f>
        <v>1017842.2868206451</v>
      </c>
      <c r="Q494" s="161"/>
    </row>
    <row r="495" spans="1:17" x14ac:dyDescent="0.25">
      <c r="A495">
        <f t="shared" si="64"/>
        <v>5.5399999999999254</v>
      </c>
      <c r="B495">
        <f>Main!$B$19/A495</f>
        <v>0.90252707581228653</v>
      </c>
      <c r="D495" s="161">
        <f t="shared" si="57"/>
        <v>0.90252707581228653</v>
      </c>
      <c r="E495" s="161">
        <f>-B495*Main!$B$18-2*Main!$B$18*loop_gain!$B$17*loop_gain!$B$18</f>
        <v>-177.15032490974744</v>
      </c>
      <c r="F495" s="161">
        <f>2*Main!$B$18*loop_gain!$B$17*loop_gain!$B$18*Helper_calcs!$B$14*Current_limit!B495</f>
        <v>585.42238267148798</v>
      </c>
      <c r="G495" s="161">
        <f t="shared" si="59"/>
        <v>3.3622589033544066</v>
      </c>
      <c r="H495" s="161">
        <f>(Main!$B$18-Current_limit!G495)*Current_limit!G495/(Main!$B$18*loop_gain!$B$17*loop_gain!$B$18)</f>
        <v>0.34923427016674963</v>
      </c>
      <c r="I495" s="161">
        <f t="shared" si="60"/>
        <v>3.5507657298332576</v>
      </c>
      <c r="J495" s="161"/>
      <c r="K495" s="163">
        <f>IF(A495&gt;$B$15,IF(I495&gt;Helper_calcs!$B$15,23,3),0)</f>
        <v>23</v>
      </c>
      <c r="L495" s="162">
        <f t="shared" si="58"/>
        <v>2</v>
      </c>
      <c r="M495" s="162">
        <f t="shared" si="61"/>
        <v>2</v>
      </c>
      <c r="N495" s="161">
        <f t="shared" si="62"/>
        <v>3.55</v>
      </c>
      <c r="O495" s="161">
        <f t="shared" si="63"/>
        <v>3.2039711191336169</v>
      </c>
      <c r="P495" s="149">
        <f>IF(OR(M495=0,M495=3),loop_gain!$B$18,IF(Current_limit!M495=1,Current_limit!$B$12/(2*(Current_limit!N495-Helper_calcs!$B$15)),IF(OR(M495=2,M495=23),(Main!$B$18-Current_limit!O495)*Current_limit!O495/(Main!$B$18*loop_gain!$B$17*(Helper_calcs!$B$14-Helper_calcs!$B$15)),x)))</f>
        <v>1016674.6932669948</v>
      </c>
      <c r="Q495" s="161"/>
    </row>
    <row r="496" spans="1:17" x14ac:dyDescent="0.25">
      <c r="A496">
        <f t="shared" si="64"/>
        <v>5.5499999999999252</v>
      </c>
      <c r="B496">
        <f>Main!$B$19/A496</f>
        <v>0.90090090090091302</v>
      </c>
      <c r="D496" s="161">
        <f t="shared" si="57"/>
        <v>0.90090090090091302</v>
      </c>
      <c r="E496" s="161">
        <f>-B496*Main!$B$18-2*Main!$B$18*loop_gain!$B$17*loop_gain!$B$18</f>
        <v>-177.13081081081094</v>
      </c>
      <c r="F496" s="161">
        <f>2*Main!$B$18*loop_gain!$B$17*loop_gain!$B$18*Helper_calcs!$B$14*Current_limit!B496</f>
        <v>584.36756756757529</v>
      </c>
      <c r="G496" s="161">
        <f t="shared" si="59"/>
        <v>3.356369266744148</v>
      </c>
      <c r="H496" s="161">
        <f>(Main!$B$18-Current_limit!G496)*Current_limit!G496/(Main!$B$18*loop_gain!$B$17*loop_gain!$B$18)</f>
        <v>0.348860227828104</v>
      </c>
      <c r="I496" s="161">
        <f t="shared" si="60"/>
        <v>3.551139772171902</v>
      </c>
      <c r="J496" s="161"/>
      <c r="K496" s="163">
        <f>IF(A496&gt;$B$15,IF(I496&gt;Helper_calcs!$B$15,23,3),0)</f>
        <v>23</v>
      </c>
      <c r="L496" s="162">
        <f t="shared" si="58"/>
        <v>2</v>
      </c>
      <c r="M496" s="162">
        <f t="shared" si="61"/>
        <v>2</v>
      </c>
      <c r="N496" s="161">
        <f t="shared" si="62"/>
        <v>3.55</v>
      </c>
      <c r="O496" s="161">
        <f t="shared" si="63"/>
        <v>3.198198198198241</v>
      </c>
      <c r="P496" s="149">
        <f>IF(OR(M496=0,M496=3),loop_gain!$B$18,IF(Current_limit!M496=1,Current_limit!$B$12/(2*(Current_limit!N496-Helper_calcs!$B$15)),IF(OR(M496=2,M496=23),(Main!$B$18-Current_limit!O496)*Current_limit!O496/(Main!$B$18*loop_gain!$B$17*(Helper_calcs!$B$14-Helper_calcs!$B$15)),x)))</f>
        <v>1015508.8983917903</v>
      </c>
      <c r="Q496" s="161"/>
    </row>
    <row r="497" spans="1:17" x14ac:dyDescent="0.25">
      <c r="A497">
        <f t="shared" si="64"/>
        <v>5.559999999999925</v>
      </c>
      <c r="B497">
        <f>Main!$B$19/A497</f>
        <v>0.89928057553958052</v>
      </c>
      <c r="D497" s="161">
        <f t="shared" si="57"/>
        <v>0.89928057553958052</v>
      </c>
      <c r="E497" s="161">
        <f>-B497*Main!$B$18-2*Main!$B$18*loop_gain!$B$17*loop_gain!$B$18</f>
        <v>-177.11136690647496</v>
      </c>
      <c r="F497" s="161">
        <f>2*Main!$B$18*loop_gain!$B$17*loop_gain!$B$18*Helper_calcs!$B$14*Current_limit!B497</f>
        <v>583.3165467625978</v>
      </c>
      <c r="G497" s="161">
        <f t="shared" si="59"/>
        <v>3.3505005904434881</v>
      </c>
      <c r="H497" s="161">
        <f>(Main!$B$18-Current_limit!G497)*Current_limit!G497/(Main!$B$18*loop_gain!$B$17*loop_gain!$B$18)</f>
        <v>0.34848668685377221</v>
      </c>
      <c r="I497" s="161">
        <f t="shared" si="60"/>
        <v>3.5515133131462222</v>
      </c>
      <c r="J497" s="161"/>
      <c r="K497" s="163">
        <f>IF(A497&gt;$B$15,IF(I497&gt;Helper_calcs!$B$15,23,3),0)</f>
        <v>23</v>
      </c>
      <c r="L497" s="162">
        <f t="shared" si="58"/>
        <v>2</v>
      </c>
      <c r="M497" s="162">
        <f t="shared" si="61"/>
        <v>2</v>
      </c>
      <c r="N497" s="161">
        <f t="shared" si="62"/>
        <v>3.55</v>
      </c>
      <c r="O497" s="161">
        <f t="shared" si="63"/>
        <v>3.1924460431655106</v>
      </c>
      <c r="P497" s="149">
        <f>IF(OR(M497=0,M497=3),loop_gain!$B$18,IF(Current_limit!M497=1,Current_limit!$B$12/(2*(Current_limit!N497-Helper_calcs!$B$15)),IF(OR(M497=2,M497=23),(Main!$B$18-Current_limit!O497)*Current_limit!O497/(Main!$B$18*loop_gain!$B$17*(Helper_calcs!$B$14-Helper_calcs!$B$15)),x)))</f>
        <v>1014344.9054640337</v>
      </c>
      <c r="Q497" s="161"/>
    </row>
    <row r="498" spans="1:17" x14ac:dyDescent="0.25">
      <c r="A498">
        <f t="shared" si="64"/>
        <v>5.5699999999999248</v>
      </c>
      <c r="B498">
        <f>Main!$B$19/A498</f>
        <v>0.89766606822263328</v>
      </c>
      <c r="D498" s="161">
        <f t="shared" si="57"/>
        <v>0.89766606822263328</v>
      </c>
      <c r="E498" s="161">
        <f>-B498*Main!$B$18-2*Main!$B$18*loop_gain!$B$17*loop_gain!$B$18</f>
        <v>-177.0919928186716</v>
      </c>
      <c r="F498" s="161">
        <f>2*Main!$B$18*loop_gain!$B$17*loop_gain!$B$18*Helper_calcs!$B$14*Current_limit!B498</f>
        <v>582.26929982047454</v>
      </c>
      <c r="G498" s="161">
        <f t="shared" si="59"/>
        <v>3.3446527608335042</v>
      </c>
      <c r="H498" s="161">
        <f>(Main!$B$18-Current_limit!G498)*Current_limit!G498/(Main!$B$18*loop_gain!$B$17*loop_gain!$B$18)</f>
        <v>0.34811364886304552</v>
      </c>
      <c r="I498" s="161">
        <f t="shared" si="60"/>
        <v>3.5518863511369507</v>
      </c>
      <c r="J498" s="161"/>
      <c r="K498" s="163">
        <f>IF(A498&gt;$B$15,IF(I498&gt;Helper_calcs!$B$15,23,3),0)</f>
        <v>23</v>
      </c>
      <c r="L498" s="162">
        <f t="shared" si="58"/>
        <v>2</v>
      </c>
      <c r="M498" s="162">
        <f t="shared" si="61"/>
        <v>2</v>
      </c>
      <c r="N498" s="161">
        <f t="shared" si="62"/>
        <v>3.55</v>
      </c>
      <c r="O498" s="161">
        <f t="shared" si="63"/>
        <v>3.186714542190348</v>
      </c>
      <c r="P498" s="149">
        <f>IF(OR(M498=0,M498=3),loop_gain!$B$18,IF(Current_limit!M498=1,Current_limit!$B$12/(2*(Current_limit!N498-Helper_calcs!$B$15)),IF(OR(M498=2,M498=23),(Main!$B$18-Current_limit!O498)*Current_limit!O498/(Main!$B$18*loop_gain!$B$17*(Helper_calcs!$B$14-Helper_calcs!$B$15)),x)))</f>
        <v>1013182.7176362464</v>
      </c>
      <c r="Q498" s="161"/>
    </row>
    <row r="499" spans="1:17" x14ac:dyDescent="0.25">
      <c r="A499">
        <f t="shared" si="64"/>
        <v>5.5799999999999246</v>
      </c>
      <c r="B499">
        <f>Main!$B$19/A499</f>
        <v>0.89605734767026302</v>
      </c>
      <c r="D499" s="161">
        <f t="shared" si="57"/>
        <v>0.89605734767026302</v>
      </c>
      <c r="E499" s="161">
        <f>-B499*Main!$B$18-2*Main!$B$18*loop_gain!$B$17*loop_gain!$B$18</f>
        <v>-177.07268817204314</v>
      </c>
      <c r="F499" s="161">
        <f>2*Main!$B$18*loop_gain!$B$17*loop_gain!$B$18*Helper_calcs!$B$14*Current_limit!B499</f>
        <v>581.22580645162066</v>
      </c>
      <c r="G499" s="161">
        <f t="shared" si="59"/>
        <v>3.3388256651285593</v>
      </c>
      <c r="H499" s="161">
        <f>(Main!$B$18-Current_limit!G499)*Current_limit!G499/(Main!$B$18*loop_gain!$B$17*loop_gain!$B$18)</f>
        <v>0.3477411154331595</v>
      </c>
      <c r="I499" s="161">
        <f t="shared" si="60"/>
        <v>3.5522588845668421</v>
      </c>
      <c r="J499" s="161"/>
      <c r="K499" s="163">
        <f>IF(A499&gt;$B$15,IF(I499&gt;Helper_calcs!$B$15,23,3),0)</f>
        <v>23</v>
      </c>
      <c r="L499" s="162">
        <f t="shared" si="58"/>
        <v>2</v>
      </c>
      <c r="M499" s="162">
        <f t="shared" si="61"/>
        <v>2</v>
      </c>
      <c r="N499" s="161">
        <f t="shared" si="62"/>
        <v>3.55</v>
      </c>
      <c r="O499" s="161">
        <f t="shared" si="63"/>
        <v>3.1810035842294337</v>
      </c>
      <c r="P499" s="149">
        <f>IF(OR(M499=0,M499=3),loop_gain!$B$18,IF(Current_limit!M499=1,Current_limit!$B$12/(2*(Current_limit!N499-Helper_calcs!$B$15)),IF(OR(M499=2,M499=23),(Main!$B$18-Current_limit!O499)*Current_limit!O499/(Main!$B$18*loop_gain!$B$17*(Helper_calcs!$B$14-Helper_calcs!$B$15)),x)))</f>
        <v>1012022.3379463461</v>
      </c>
      <c r="Q499" s="161"/>
    </row>
    <row r="500" spans="1:17" x14ac:dyDescent="0.25">
      <c r="A500">
        <f t="shared" si="64"/>
        <v>5.5899999999999244</v>
      </c>
      <c r="B500">
        <f>Main!$B$19/A500</f>
        <v>0.89445438282648793</v>
      </c>
      <c r="D500" s="161">
        <f t="shared" si="57"/>
        <v>0.89445438282648793</v>
      </c>
      <c r="E500" s="161">
        <f>-B500*Main!$B$18-2*Main!$B$18*loop_gain!$B$17*loop_gain!$B$18</f>
        <v>-177.05345259391785</v>
      </c>
      <c r="F500" s="161">
        <f>2*Main!$B$18*loop_gain!$B$17*loop_gain!$B$18*Helper_calcs!$B$14*Current_limit!B500</f>
        <v>580.18604651163571</v>
      </c>
      <c r="G500" s="161">
        <f t="shared" si="59"/>
        <v>3.3330191913685816</v>
      </c>
      <c r="H500" s="161">
        <f>(Main!$B$18-Current_limit!G500)*Current_limit!G500/(Main!$B$18*loop_gain!$B$17*loop_gain!$B$18)</f>
        <v>0.34736908809994838</v>
      </c>
      <c r="I500" s="161">
        <f t="shared" si="60"/>
        <v>3.5526309119000499</v>
      </c>
      <c r="J500" s="161"/>
      <c r="K500" s="163">
        <f>IF(A500&gt;$B$15,IF(I500&gt;Helper_calcs!$B$15,23,3),0)</f>
        <v>23</v>
      </c>
      <c r="L500" s="162">
        <f t="shared" si="58"/>
        <v>2</v>
      </c>
      <c r="M500" s="162">
        <f t="shared" si="61"/>
        <v>2</v>
      </c>
      <c r="N500" s="161">
        <f t="shared" si="62"/>
        <v>3.55</v>
      </c>
      <c r="O500" s="161">
        <f t="shared" si="63"/>
        <v>3.1753130590340319</v>
      </c>
      <c r="P500" s="149">
        <f>IF(OR(M500=0,M500=3),loop_gain!$B$18,IF(Current_limit!M500=1,Current_limit!$B$12/(2*(Current_limit!N500-Helper_calcs!$B$15)),IF(OR(M500=2,M500=23),(Main!$B$18-Current_limit!O500)*Current_limit!O500/(Main!$B$18*loop_gain!$B$17*(Helper_calcs!$B$14-Helper_calcs!$B$15)),x)))</f>
        <v>1010863.7693194926</v>
      </c>
      <c r="Q500" s="161"/>
    </row>
    <row r="501" spans="1:17" x14ac:dyDescent="0.25">
      <c r="A501">
        <f t="shared" si="64"/>
        <v>5.5999999999999241</v>
      </c>
      <c r="B501">
        <f>Main!$B$19/A501</f>
        <v>0.89285714285715501</v>
      </c>
      <c r="D501" s="161">
        <f t="shared" si="57"/>
        <v>0.89285714285715501</v>
      </c>
      <c r="E501" s="161">
        <f>-B501*Main!$B$18-2*Main!$B$18*loop_gain!$B$17*loop_gain!$B$18</f>
        <v>-177.03428571428586</v>
      </c>
      <c r="F501" s="161">
        <f>2*Main!$B$18*loop_gain!$B$17*loop_gain!$B$18*Helper_calcs!$B$14*Current_limit!B501</f>
        <v>579.15000000000782</v>
      </c>
      <c r="G501" s="161">
        <f t="shared" si="59"/>
        <v>3.3272332284114352</v>
      </c>
      <c r="H501" s="161">
        <f>(Main!$B$18-Current_limit!G501)*Current_limit!G501/(Main!$B$18*loop_gain!$B$17*loop_gain!$B$18)</f>
        <v>0.34699756835849016</v>
      </c>
      <c r="I501" s="161">
        <f t="shared" si="60"/>
        <v>3.5530024316415116</v>
      </c>
      <c r="J501" s="161"/>
      <c r="K501" s="163">
        <f>IF(A501&gt;$B$15,IF(I501&gt;Helper_calcs!$B$15,23,3),0)</f>
        <v>23</v>
      </c>
      <c r="L501" s="162">
        <f t="shared" si="58"/>
        <v>2</v>
      </c>
      <c r="M501" s="162">
        <f t="shared" si="61"/>
        <v>2</v>
      </c>
      <c r="N501" s="161">
        <f t="shared" si="62"/>
        <v>3.55</v>
      </c>
      <c r="O501" s="161">
        <f t="shared" si="63"/>
        <v>3.1696428571429003</v>
      </c>
      <c r="P501" s="149">
        <f>IF(OR(M501=0,M501=3),loop_gain!$B$18,IF(Current_limit!M501=1,Current_limit!$B$12/(2*(Current_limit!N501-Helper_calcs!$B$15)),IF(OR(M501=2,M501=23),(Main!$B$18-Current_limit!O501)*Current_limit!O501/(Main!$B$18*loop_gain!$B$17*(Helper_calcs!$B$14-Helper_calcs!$B$15)),x)))</f>
        <v>1009707.0145699064</v>
      </c>
      <c r="Q501" s="161"/>
    </row>
    <row r="502" spans="1:17" x14ac:dyDescent="0.25">
      <c r="A502">
        <f t="shared" si="64"/>
        <v>5.6099999999999239</v>
      </c>
      <c r="B502">
        <f>Main!$B$19/A502</f>
        <v>0.89126559714796216</v>
      </c>
      <c r="D502" s="161">
        <f t="shared" si="57"/>
        <v>0.89126559714796216</v>
      </c>
      <c r="E502" s="161">
        <f>-B502*Main!$B$18-2*Main!$B$18*loop_gain!$B$17*loop_gain!$B$18</f>
        <v>-177.01518716577553</v>
      </c>
      <c r="F502" s="161">
        <f>2*Main!$B$18*loop_gain!$B$17*loop_gain!$B$18*Helper_calcs!$B$14*Current_limit!B502</f>
        <v>578.11764705883127</v>
      </c>
      <c r="G502" s="161">
        <f t="shared" si="59"/>
        <v>3.3214676659252955</v>
      </c>
      <c r="H502" s="161">
        <f>(Main!$B$18-Current_limit!G502)*Current_limit!G502/(Main!$B$18*loop_gain!$B$17*loop_gain!$B$18)</f>
        <v>0.34662655766373635</v>
      </c>
      <c r="I502" s="161">
        <f t="shared" si="60"/>
        <v>3.5533734423362628</v>
      </c>
      <c r="J502" s="161"/>
      <c r="K502" s="163">
        <f>IF(A502&gt;$B$15,IF(I502&gt;Helper_calcs!$B$15,23,3),0)</f>
        <v>23</v>
      </c>
      <c r="L502" s="162">
        <f t="shared" si="58"/>
        <v>2</v>
      </c>
      <c r="M502" s="162">
        <f t="shared" si="61"/>
        <v>2</v>
      </c>
      <c r="N502" s="161">
        <f t="shared" si="62"/>
        <v>3.55</v>
      </c>
      <c r="O502" s="161">
        <f t="shared" si="63"/>
        <v>3.1639928698752655</v>
      </c>
      <c r="P502" s="149">
        <f>IF(OR(M502=0,M502=3),loop_gain!$B$18,IF(Current_limit!M502=1,Current_limit!$B$12/(2*(Current_limit!N502-Helper_calcs!$B$15)),IF(OR(M502=2,M502=23),(Main!$B$18-Current_limit!O502)*Current_limit!O502/(Main!$B$18*loop_gain!$B$17*(Helper_calcs!$B$14-Helper_calcs!$B$15)),x)))</f>
        <v>1008552.076402658</v>
      </c>
      <c r="Q502" s="161"/>
    </row>
    <row r="503" spans="1:17" x14ac:dyDescent="0.25">
      <c r="A503">
        <f t="shared" si="64"/>
        <v>5.6199999999999237</v>
      </c>
      <c r="B503">
        <f>Main!$B$19/A503</f>
        <v>0.88967971530250323</v>
      </c>
      <c r="D503" s="161">
        <f t="shared" si="57"/>
        <v>0.88967971530250323</v>
      </c>
      <c r="E503" s="161">
        <f>-B503*Main!$B$18-2*Main!$B$18*loop_gain!$B$17*loop_gain!$B$18</f>
        <v>-176.99615658363004</v>
      </c>
      <c r="F503" s="161">
        <f>2*Main!$B$18*loop_gain!$B$17*loop_gain!$B$18*Helper_calcs!$B$14*Current_limit!B503</f>
        <v>577.08896797153807</v>
      </c>
      <c r="G503" s="161">
        <f t="shared" si="59"/>
        <v>3.3157223943812091</v>
      </c>
      <c r="H503" s="161">
        <f>(Main!$B$18-Current_limit!G503)*Current_limit!G503/(Main!$B$18*loop_gain!$B$17*loop_gain!$B$18)</f>
        <v>0.34625605743113813</v>
      </c>
      <c r="I503" s="161">
        <f t="shared" si="60"/>
        <v>3.5537439425688588</v>
      </c>
      <c r="J503" s="161"/>
      <c r="K503" s="163">
        <f>IF(A503&gt;$B$15,IF(I503&gt;Helper_calcs!$B$15,23,3),0)</f>
        <v>23</v>
      </c>
      <c r="L503" s="162">
        <f t="shared" si="58"/>
        <v>2</v>
      </c>
      <c r="M503" s="162">
        <f t="shared" si="61"/>
        <v>2</v>
      </c>
      <c r="N503" s="161">
        <f t="shared" si="62"/>
        <v>3.55</v>
      </c>
      <c r="O503" s="161">
        <f t="shared" si="63"/>
        <v>3.1583629893238863</v>
      </c>
      <c r="P503" s="149">
        <f>IF(OR(M503=0,M503=3),loop_gain!$B$18,IF(Current_limit!M503=1,Current_limit!$B$12/(2*(Current_limit!N503-Helper_calcs!$B$15)),IF(OR(M503=2,M503=23),(Main!$B$18-Current_limit!O503)*Current_limit!O503/(Main!$B$18*loop_gain!$B$17*(Helper_calcs!$B$14-Helper_calcs!$B$15)),x)))</f>
        <v>1007398.9574154302</v>
      </c>
      <c r="Q503" s="161"/>
    </row>
    <row r="504" spans="1:17" x14ac:dyDescent="0.25">
      <c r="A504">
        <f t="shared" si="64"/>
        <v>5.6299999999999235</v>
      </c>
      <c r="B504">
        <f>Main!$B$19/A504</f>
        <v>0.88809946714033183</v>
      </c>
      <c r="D504" s="161">
        <f t="shared" si="57"/>
        <v>0.88809946714033183</v>
      </c>
      <c r="E504" s="161">
        <f>-B504*Main!$B$18-2*Main!$B$18*loop_gain!$B$17*loop_gain!$B$18</f>
        <v>-176.97719360568396</v>
      </c>
      <c r="F504" s="161">
        <f>2*Main!$B$18*loop_gain!$B$17*loop_gain!$B$18*Helper_calcs!$B$14*Current_limit!B504</f>
        <v>576.06394316164187</v>
      </c>
      <c r="G504" s="161">
        <f t="shared" si="59"/>
        <v>3.3099973050456755</v>
      </c>
      <c r="H504" s="161">
        <f>(Main!$B$18-Current_limit!G504)*Current_limit!G504/(Main!$B$18*loop_gain!$B$17*loop_gain!$B$18)</f>
        <v>0.34588606903725916</v>
      </c>
      <c r="I504" s="161">
        <f t="shared" si="60"/>
        <v>3.5541139309627505</v>
      </c>
      <c r="J504" s="161"/>
      <c r="K504" s="163">
        <f>IF(A504&gt;$B$15,IF(I504&gt;Helper_calcs!$B$15,23,3),0)</f>
        <v>23</v>
      </c>
      <c r="L504" s="162">
        <f t="shared" si="58"/>
        <v>2</v>
      </c>
      <c r="M504" s="162">
        <f t="shared" si="61"/>
        <v>2</v>
      </c>
      <c r="N504" s="161">
        <f t="shared" si="62"/>
        <v>3.55</v>
      </c>
      <c r="O504" s="161">
        <f t="shared" si="63"/>
        <v>3.1527531083481777</v>
      </c>
      <c r="P504" s="149">
        <f>IF(OR(M504=0,M504=3),loop_gain!$B$18,IF(Current_limit!M504=1,Current_limit!$B$12/(2*(Current_limit!N504-Helper_calcs!$B$15)),IF(OR(M504=2,M504=23),(Main!$B$18-Current_limit!O504)*Current_limit!O504/(Main!$B$18*loop_gain!$B$17*(Helper_calcs!$B$14-Helper_calcs!$B$15)),x)))</f>
        <v>1006247.6601002543</v>
      </c>
      <c r="Q504" s="161"/>
    </row>
    <row r="505" spans="1:17" x14ac:dyDescent="0.25">
      <c r="A505">
        <f t="shared" si="64"/>
        <v>5.6399999999999233</v>
      </c>
      <c r="B505">
        <f>Main!$B$19/A505</f>
        <v>0.88652482269504751</v>
      </c>
      <c r="D505" s="161">
        <f t="shared" si="57"/>
        <v>0.88652482269504751</v>
      </c>
      <c r="E505" s="161">
        <f>-B505*Main!$B$18-2*Main!$B$18*loop_gain!$B$17*loop_gain!$B$18</f>
        <v>-176.95829787234055</v>
      </c>
      <c r="F505" s="161">
        <f>2*Main!$B$18*loop_gain!$B$17*loop_gain!$B$18*Helper_calcs!$B$14*Current_limit!B505</f>
        <v>575.04255319149706</v>
      </c>
      <c r="G505" s="161">
        <f t="shared" si="59"/>
        <v>3.3042922899732807</v>
      </c>
      <c r="H505" s="161">
        <f>(Main!$B$18-Current_limit!G505)*Current_limit!G505/(Main!$B$18*loop_gain!$B$17*loop_gain!$B$18)</f>
        <v>0.34551659382037642</v>
      </c>
      <c r="I505" s="161">
        <f t="shared" si="60"/>
        <v>3.5544834061796218</v>
      </c>
      <c r="J505" s="161"/>
      <c r="K505" s="163">
        <f>IF(A505&gt;$B$15,IF(I505&gt;Helper_calcs!$B$15,23,3),0)</f>
        <v>23</v>
      </c>
      <c r="L505" s="162">
        <f t="shared" si="58"/>
        <v>2</v>
      </c>
      <c r="M505" s="162">
        <f t="shared" si="61"/>
        <v>2</v>
      </c>
      <c r="N505" s="161">
        <f t="shared" si="62"/>
        <v>3.55</v>
      </c>
      <c r="O505" s="161">
        <f t="shared" si="63"/>
        <v>3.1471631205674186</v>
      </c>
      <c r="P505" s="149">
        <f>IF(OR(M505=0,M505=3),loop_gain!$B$18,IF(Current_limit!M505=1,Current_limit!$B$12/(2*(Current_limit!N505-Helper_calcs!$B$15)),IF(OR(M505=2,M505=23),(Main!$B$18-Current_limit!O505)*Current_limit!O505/(Main!$B$18*loop_gain!$B$17*(Helper_calcs!$B$14-Helper_calcs!$B$15)),x)))</f>
        <v>1005098.1868452159</v>
      </c>
      <c r="Q505" s="161"/>
    </row>
    <row r="506" spans="1:17" x14ac:dyDescent="0.25">
      <c r="A506">
        <f t="shared" si="64"/>
        <v>5.6499999999999231</v>
      </c>
      <c r="B506">
        <f>Main!$B$19/A506</f>
        <v>0.88495575221240141</v>
      </c>
      <c r="D506" s="161">
        <f t="shared" si="57"/>
        <v>0.88495575221240141</v>
      </c>
      <c r="E506" s="161">
        <f>-B506*Main!$B$18-2*Main!$B$18*loop_gain!$B$17*loop_gain!$B$18</f>
        <v>-176.93946902654881</v>
      </c>
      <c r="F506" s="161">
        <f>2*Main!$B$18*loop_gain!$B$17*loop_gain!$B$18*Helper_calcs!$B$14*Current_limit!B506</f>
        <v>574.02477876106968</v>
      </c>
      <c r="G506" s="161">
        <f t="shared" si="59"/>
        <v>3.2986072419995716</v>
      </c>
      <c r="H506" s="161">
        <f>(Main!$B$18-Current_limit!G506)*Current_limit!G506/(Main!$B$18*loop_gain!$B$17*loop_gain!$B$18)</f>
        <v>0.34514763308108276</v>
      </c>
      <c r="I506" s="161">
        <f t="shared" si="60"/>
        <v>3.554852366918924</v>
      </c>
      <c r="J506" s="161"/>
      <c r="K506" s="163">
        <f>IF(A506&gt;$B$15,IF(I506&gt;Helper_calcs!$B$15,23,3),0)</f>
        <v>23</v>
      </c>
      <c r="L506" s="162">
        <f t="shared" si="58"/>
        <v>2</v>
      </c>
      <c r="M506" s="162">
        <f t="shared" si="61"/>
        <v>2</v>
      </c>
      <c r="N506" s="161">
        <f t="shared" si="62"/>
        <v>3.55</v>
      </c>
      <c r="O506" s="161">
        <f t="shared" si="63"/>
        <v>3.1415929203540247</v>
      </c>
      <c r="P506" s="149">
        <f>IF(OR(M506=0,M506=3),loop_gain!$B$18,IF(Current_limit!M506=1,Current_limit!$B$12/(2*(Current_limit!N506-Helper_calcs!$B$15)),IF(OR(M506=2,M506=23),(Main!$B$18-Current_limit!O506)*Current_limit!O506/(Main!$B$18*loop_gain!$B$17*(Helper_calcs!$B$14-Helper_calcs!$B$15)),x)))</f>
        <v>1003950.5399361392</v>
      </c>
      <c r="Q506" s="161"/>
    </row>
    <row r="507" spans="1:17" x14ac:dyDescent="0.25">
      <c r="A507">
        <f t="shared" si="64"/>
        <v>5.6599999999999229</v>
      </c>
      <c r="B507">
        <f>Main!$B$19/A507</f>
        <v>0.88339222614842194</v>
      </c>
      <c r="D507" s="161">
        <f t="shared" si="57"/>
        <v>0.88339222614842194</v>
      </c>
      <c r="E507" s="161">
        <f>-B507*Main!$B$18-2*Main!$B$18*loop_gain!$B$17*loop_gain!$B$18</f>
        <v>-176.92070671378104</v>
      </c>
      <c r="F507" s="161">
        <f>2*Main!$B$18*loop_gain!$B$17*loop_gain!$B$18*Helper_calcs!$B$14*Current_limit!B507</f>
        <v>573.01060070672156</v>
      </c>
      <c r="G507" s="161">
        <f t="shared" si="59"/>
        <v>3.292942054733762</v>
      </c>
      <c r="H507" s="161">
        <f>(Main!$B$18-Current_limit!G507)*Current_limit!G507/(Main!$B$18*loop_gain!$B$17*loop_gain!$B$18)</f>
        <v>0.34477918808286356</v>
      </c>
      <c r="I507" s="161">
        <f t="shared" si="60"/>
        <v>3.5552208119171356</v>
      </c>
      <c r="J507" s="161"/>
      <c r="K507" s="163">
        <f>IF(A507&gt;$B$15,IF(I507&gt;Helper_calcs!$B$15,23,3),0)</f>
        <v>23</v>
      </c>
      <c r="L507" s="162">
        <f t="shared" si="58"/>
        <v>2</v>
      </c>
      <c r="M507" s="162">
        <f t="shared" si="61"/>
        <v>2</v>
      </c>
      <c r="N507" s="161">
        <f t="shared" si="62"/>
        <v>3.55</v>
      </c>
      <c r="O507" s="161">
        <f t="shared" si="63"/>
        <v>3.1360424028268978</v>
      </c>
      <c r="P507" s="149">
        <f>IF(OR(M507=0,M507=3),loop_gain!$B$18,IF(Current_limit!M507=1,Current_limit!$B$12/(2*(Current_limit!N507-Helper_calcs!$B$15)),IF(OR(M507=2,M507=23),(Main!$B$18-Current_limit!O507)*Current_limit!O507/(Main!$B$18*loop_gain!$B$17*(Helper_calcs!$B$14-Helper_calcs!$B$15)),x)))</f>
        <v>1002804.7215582423</v>
      </c>
      <c r="Q507" s="161"/>
    </row>
    <row r="508" spans="1:17" x14ac:dyDescent="0.25">
      <c r="A508">
        <f t="shared" si="64"/>
        <v>5.6699999999999227</v>
      </c>
      <c r="B508">
        <f>Main!$B$19/A508</f>
        <v>0.88183421516756055</v>
      </c>
      <c r="D508" s="161">
        <f t="shared" si="57"/>
        <v>0.88183421516756055</v>
      </c>
      <c r="E508" s="161">
        <f>-B508*Main!$B$18-2*Main!$B$18*loop_gain!$B$17*loop_gain!$B$18</f>
        <v>-176.90201058201072</v>
      </c>
      <c r="F508" s="161">
        <f>2*Main!$B$18*loop_gain!$B$17*loop_gain!$B$18*Helper_calcs!$B$14*Current_limit!B508</f>
        <v>572.00000000000773</v>
      </c>
      <c r="G508" s="161">
        <f t="shared" si="59"/>
        <v>3.2872966225517661</v>
      </c>
      <c r="H508" s="161">
        <f>(Main!$B$18-Current_limit!G508)*Current_limit!G508/(Main!$B$18*loop_gain!$B$17*loop_gain!$B$18)</f>
        <v>0.34441126005268097</v>
      </c>
      <c r="I508" s="161">
        <f t="shared" si="60"/>
        <v>3.5555887399473116</v>
      </c>
      <c r="J508" s="161"/>
      <c r="K508" s="163">
        <f>IF(A508&gt;$B$15,IF(I508&gt;Helper_calcs!$B$15,23,3),0)</f>
        <v>23</v>
      </c>
      <c r="L508" s="162">
        <f t="shared" si="58"/>
        <v>2</v>
      </c>
      <c r="M508" s="162">
        <f t="shared" si="61"/>
        <v>2</v>
      </c>
      <c r="N508" s="161">
        <f t="shared" si="62"/>
        <v>3.55</v>
      </c>
      <c r="O508" s="161">
        <f t="shared" si="63"/>
        <v>3.1305114638448397</v>
      </c>
      <c r="P508" s="149">
        <f>IF(OR(M508=0,M508=3),loop_gain!$B$18,IF(Current_limit!M508=1,Current_limit!$B$12/(2*(Current_limit!N508-Helper_calcs!$B$15)),IF(OR(M508=2,M508=23),(Main!$B$18-Current_limit!O508)*Current_limit!O508/(Main!$B$18*loop_gain!$B$17*(Helper_calcs!$B$14-Helper_calcs!$B$15)),x)))</f>
        <v>1001660.7337977679</v>
      </c>
      <c r="Q508" s="161"/>
    </row>
    <row r="509" spans="1:17" x14ac:dyDescent="0.25">
      <c r="A509">
        <f t="shared" si="64"/>
        <v>5.6799999999999224</v>
      </c>
      <c r="B509">
        <f>Main!$B$19/A509</f>
        <v>0.88028169014085711</v>
      </c>
      <c r="D509" s="161">
        <f t="shared" si="57"/>
        <v>0.88028169014085711</v>
      </c>
      <c r="E509" s="161">
        <f>-B509*Main!$B$18-2*Main!$B$18*loop_gain!$B$17*loop_gain!$B$18</f>
        <v>-176.88338028169028</v>
      </c>
      <c r="F509" s="161">
        <f>2*Main!$B$18*loop_gain!$B$17*loop_gain!$B$18*Helper_calcs!$B$14*Current_limit!B509</f>
        <v>570.99295774648658</v>
      </c>
      <c r="G509" s="161">
        <f t="shared" si="59"/>
        <v>3.2816708405891601</v>
      </c>
      <c r="H509" s="161">
        <f>(Main!$B$18-Current_limit!G509)*Current_limit!G509/(Main!$B$18*loop_gain!$B$17*loop_gain!$B$18)</f>
        <v>0.34404385018153866</v>
      </c>
      <c r="I509" s="161">
        <f t="shared" si="60"/>
        <v>3.5559561498184658</v>
      </c>
      <c r="J509" s="161"/>
      <c r="K509" s="163">
        <f>IF(A509&gt;$B$15,IF(I509&gt;Helper_calcs!$B$15,23,3),0)</f>
        <v>23</v>
      </c>
      <c r="L509" s="162">
        <f t="shared" si="58"/>
        <v>2</v>
      </c>
      <c r="M509" s="162">
        <f t="shared" si="61"/>
        <v>2</v>
      </c>
      <c r="N509" s="161">
        <f t="shared" si="62"/>
        <v>3.55</v>
      </c>
      <c r="O509" s="161">
        <f t="shared" si="63"/>
        <v>3.1250000000000426</v>
      </c>
      <c r="P509" s="149">
        <f>IF(OR(M509=0,M509=3),loop_gain!$B$18,IF(Current_limit!M509=1,Current_limit!$B$12/(2*(Current_limit!N509-Helper_calcs!$B$15)),IF(OR(M509=2,M509=23),(Main!$B$18-Current_limit!O509)*Current_limit!O509/(Main!$B$18*loop_gain!$B$17*(Helper_calcs!$B$14-Helper_calcs!$B$15)),x)))</f>
        <v>1000518.5786435879</v>
      </c>
      <c r="Q509" s="161"/>
    </row>
    <row r="510" spans="1:17" x14ac:dyDescent="0.25">
      <c r="A510">
        <f t="shared" si="64"/>
        <v>5.6899999999999222</v>
      </c>
      <c r="B510">
        <f>Main!$B$19/A510</f>
        <v>0.87873462214412446</v>
      </c>
      <c r="D510" s="161">
        <f t="shared" si="57"/>
        <v>0.87873462214412446</v>
      </c>
      <c r="E510" s="161">
        <f>-B510*Main!$B$18-2*Main!$B$18*loop_gain!$B$17*loop_gain!$B$18</f>
        <v>-176.86481546572949</v>
      </c>
      <c r="F510" s="161">
        <f>2*Main!$B$18*loop_gain!$B$17*loop_gain!$B$18*Helper_calcs!$B$14*Current_limit!B510</f>
        <v>569.98945518454195</v>
      </c>
      <c r="G510" s="161">
        <f t="shared" si="59"/>
        <v>3.2760646047342097</v>
      </c>
      <c r="H510" s="161">
        <f>(Main!$B$18-Current_limit!G510)*Current_limit!G510/(Main!$B$18*loop_gain!$B$17*loop_gain!$B$18)</f>
        <v>0.34367695962503853</v>
      </c>
      <c r="I510" s="161">
        <f t="shared" si="60"/>
        <v>3.5563230403749606</v>
      </c>
      <c r="J510" s="161"/>
      <c r="K510" s="163">
        <f>IF(A510&gt;$B$15,IF(I510&gt;Helper_calcs!$B$15,23,3),0)</f>
        <v>23</v>
      </c>
      <c r="L510" s="162">
        <f t="shared" si="58"/>
        <v>2</v>
      </c>
      <c r="M510" s="162">
        <f t="shared" si="61"/>
        <v>2</v>
      </c>
      <c r="N510" s="161">
        <f t="shared" si="62"/>
        <v>3.55</v>
      </c>
      <c r="O510" s="161">
        <f t="shared" si="63"/>
        <v>3.1195079086116415</v>
      </c>
      <c r="P510" s="149">
        <f>IF(OR(M510=0,M510=3),loop_gain!$B$18,IF(Current_limit!M510=1,Current_limit!$B$12/(2*(Current_limit!N510-Helper_calcs!$B$15)),IF(OR(M510=2,M510=23),(Main!$B$18-Current_limit!O510)*Current_limit!O510/(Main!$B$18*loop_gain!$B$17*(Helper_calcs!$B$14-Helper_calcs!$B$15)),x)))</f>
        <v>999378.25798878539</v>
      </c>
      <c r="Q510" s="161"/>
    </row>
    <row r="511" spans="1:17" x14ac:dyDescent="0.25">
      <c r="A511">
        <f t="shared" si="64"/>
        <v>5.699999999999922</v>
      </c>
      <c r="B511">
        <f>Main!$B$19/A511</f>
        <v>0.8771929824561524</v>
      </c>
      <c r="D511" s="161">
        <f t="shared" si="57"/>
        <v>0.8771929824561524</v>
      </c>
      <c r="E511" s="161">
        <f>-B511*Main!$B$18-2*Main!$B$18*loop_gain!$B$17*loop_gain!$B$18</f>
        <v>-176.84631578947383</v>
      </c>
      <c r="F511" s="161">
        <f>2*Main!$B$18*loop_gain!$B$17*loop_gain!$B$18*Helper_calcs!$B$14*Current_limit!B511</f>
        <v>568.9894736842183</v>
      </c>
      <c r="G511" s="161">
        <f t="shared" si="59"/>
        <v>3.2704778116211268</v>
      </c>
      <c r="H511" s="161">
        <f>(Main!$B$18-Current_limit!G511)*Current_limit!G511/(Main!$B$18*loop_gain!$B$17*loop_gain!$B$18)</f>
        <v>0.34331058950393706</v>
      </c>
      <c r="I511" s="161">
        <f t="shared" si="60"/>
        <v>3.5566894104960647</v>
      </c>
      <c r="J511" s="161"/>
      <c r="K511" s="163">
        <f>IF(A511&gt;$B$15,IF(I511&gt;Helper_calcs!$B$15,23,3),0)</f>
        <v>23</v>
      </c>
      <c r="L511" s="162">
        <f t="shared" si="58"/>
        <v>2</v>
      </c>
      <c r="M511" s="162">
        <f t="shared" si="61"/>
        <v>2</v>
      </c>
      <c r="N511" s="161">
        <f t="shared" si="62"/>
        <v>3.55</v>
      </c>
      <c r="O511" s="161">
        <f t="shared" si="63"/>
        <v>3.114035087719341</v>
      </c>
      <c r="P511" s="149">
        <f>IF(OR(M511=0,M511=3),loop_gain!$B$18,IF(Current_limit!M511=1,Current_limit!$B$12/(2*(Current_limit!N511-Helper_calcs!$B$15)),IF(OR(M511=2,M511=23),(Main!$B$18-Current_limit!O511)*Current_limit!O511/(Main!$B$18*loop_gain!$B$17*(Helper_calcs!$B$14-Helper_calcs!$B$15)),x)))</f>
        <v>998239.77363221149</v>
      </c>
      <c r="Q511" s="161"/>
    </row>
    <row r="512" spans="1:17" x14ac:dyDescent="0.25">
      <c r="A512">
        <f t="shared" si="64"/>
        <v>5.7099999999999218</v>
      </c>
      <c r="B512">
        <f>Main!$B$19/A512</f>
        <v>0.87565674255692971</v>
      </c>
      <c r="D512" s="161">
        <f t="shared" si="57"/>
        <v>0.87565674255692971</v>
      </c>
      <c r="E512" s="161">
        <f>-B512*Main!$B$18-2*Main!$B$18*loop_gain!$B$17*loop_gain!$B$18</f>
        <v>-176.82788091068315</v>
      </c>
      <c r="F512" s="161">
        <f>2*Main!$B$18*loop_gain!$B$17*loop_gain!$B$18*Helper_calcs!$B$14*Current_limit!B512</f>
        <v>567.99299474606721</v>
      </c>
      <c r="G512" s="161">
        <f t="shared" si="59"/>
        <v>3.2649103586232147</v>
      </c>
      <c r="H512" s="161">
        <f>(Main!$B$18-Current_limit!G512)*Current_limit!G512/(Main!$B$18*loop_gain!$B$17*loop_gain!$B$18)</f>
        <v>0.34294474090468263</v>
      </c>
      <c r="I512" s="161">
        <f t="shared" si="60"/>
        <v>3.5570552590953186</v>
      </c>
      <c r="J512" s="161"/>
      <c r="K512" s="163">
        <f>IF(A512&gt;$B$15,IF(I512&gt;Helper_calcs!$B$15,23,3),0)</f>
        <v>23</v>
      </c>
      <c r="L512" s="162">
        <f t="shared" si="58"/>
        <v>2</v>
      </c>
      <c r="M512" s="162">
        <f t="shared" si="61"/>
        <v>2</v>
      </c>
      <c r="N512" s="161">
        <f t="shared" si="62"/>
        <v>3.55</v>
      </c>
      <c r="O512" s="161">
        <f t="shared" si="63"/>
        <v>3.1085814360771002</v>
      </c>
      <c r="P512" s="149">
        <f>IF(OR(M512=0,M512=3),loop_gain!$B$18,IF(Current_limit!M512=1,Current_limit!$B$12/(2*(Current_limit!N512-Helper_calcs!$B$15)),IF(OR(M512=2,M512=23),(Main!$B$18-Current_limit!O512)*Current_limit!O512/(Main!$B$18*loop_gain!$B$17*(Helper_calcs!$B$14-Helper_calcs!$B$15)),x)))</f>
        <v>997103.12728001608</v>
      </c>
      <c r="Q512" s="161"/>
    </row>
    <row r="513" spans="1:17" x14ac:dyDescent="0.25">
      <c r="A513">
        <f t="shared" si="64"/>
        <v>5.7199999999999216</v>
      </c>
      <c r="B513">
        <f>Main!$B$19/A513</f>
        <v>0.87412587412588616</v>
      </c>
      <c r="D513" s="161">
        <f t="shared" si="57"/>
        <v>0.87412587412588616</v>
      </c>
      <c r="E513" s="161">
        <f>-B513*Main!$B$18-2*Main!$B$18*loop_gain!$B$17*loop_gain!$B$18</f>
        <v>-176.80951048951061</v>
      </c>
      <c r="F513" s="161">
        <f>2*Main!$B$18*loop_gain!$B$17*loop_gain!$B$18*Helper_calcs!$B$14*Current_limit!B513</f>
        <v>567.00000000000773</v>
      </c>
      <c r="G513" s="161">
        <f t="shared" si="59"/>
        <v>3.2593621438462184</v>
      </c>
      <c r="H513" s="161">
        <f>(Main!$B$18-Current_limit!G513)*Current_limit!G513/(Main!$B$18*loop_gain!$B$17*loop_gain!$B$18)</f>
        <v>0.34257941487995197</v>
      </c>
      <c r="I513" s="161">
        <f t="shared" si="60"/>
        <v>3.5574205851200462</v>
      </c>
      <c r="J513" s="161"/>
      <c r="K513" s="163">
        <f>IF(A513&gt;$B$15,IF(I513&gt;Helper_calcs!$B$15,23,3),0)</f>
        <v>23</v>
      </c>
      <c r="L513" s="162">
        <f t="shared" si="58"/>
        <v>2</v>
      </c>
      <c r="M513" s="162">
        <f t="shared" si="61"/>
        <v>2</v>
      </c>
      <c r="N513" s="161">
        <f t="shared" si="62"/>
        <v>3.55</v>
      </c>
      <c r="O513" s="161">
        <f t="shared" si="63"/>
        <v>3.1031468531468955</v>
      </c>
      <c r="P513" s="149">
        <f>IF(OR(M513=0,M513=3),loop_gain!$B$18,IF(Current_limit!M513=1,Current_limit!$B$12/(2*(Current_limit!N513-Helper_calcs!$B$15)),IF(OR(M513=2,M513=23),(Main!$B$18-Current_limit!O513)*Current_limit!O513/(Main!$B$18*loop_gain!$B$17*(Helper_calcs!$B$14-Helper_calcs!$B$15)),x)))</f>
        <v>995968.32054715999</v>
      </c>
      <c r="Q513" s="161"/>
    </row>
    <row r="514" spans="1:17" x14ac:dyDescent="0.25">
      <c r="A514">
        <f t="shared" si="64"/>
        <v>5.7299999999999214</v>
      </c>
      <c r="B514">
        <f>Main!$B$19/A514</f>
        <v>0.8726003490401516</v>
      </c>
      <c r="D514" s="161">
        <f t="shared" si="57"/>
        <v>0.8726003490401516</v>
      </c>
      <c r="E514" s="161">
        <f>-B514*Main!$B$18-2*Main!$B$18*loop_gain!$B$17*loop_gain!$B$18</f>
        <v>-176.7912041884818</v>
      </c>
      <c r="F514" s="161">
        <f>2*Main!$B$18*loop_gain!$B$17*loop_gain!$B$18*Helper_calcs!$B$14*Current_limit!B514</f>
        <v>566.01047120419616</v>
      </c>
      <c r="G514" s="161">
        <f t="shared" si="59"/>
        <v>3.2538330661216892</v>
      </c>
      <c r="H514" s="161">
        <f>(Main!$B$18-Current_limit!G514)*Current_limit!G514/(Main!$B$18*loop_gain!$B$17*loop_gain!$B$18)</f>
        <v>0.34221461244917506</v>
      </c>
      <c r="I514" s="161">
        <f t="shared" si="60"/>
        <v>3.5577853875508172</v>
      </c>
      <c r="J514" s="161"/>
      <c r="K514" s="163">
        <f>IF(A514&gt;$B$15,IF(I514&gt;Helper_calcs!$B$15,23,3),0)</f>
        <v>23</v>
      </c>
      <c r="L514" s="162">
        <f t="shared" si="58"/>
        <v>2</v>
      </c>
      <c r="M514" s="162">
        <f t="shared" si="61"/>
        <v>2</v>
      </c>
      <c r="N514" s="161">
        <f t="shared" si="62"/>
        <v>3.55</v>
      </c>
      <c r="O514" s="161">
        <f t="shared" si="63"/>
        <v>3.0977312390925382</v>
      </c>
      <c r="P514" s="149">
        <f>IF(OR(M514=0,M514=3),loop_gain!$B$18,IF(Current_limit!M514=1,Current_limit!$B$12/(2*(Current_limit!N514-Helper_calcs!$B$15)),IF(OR(M514=2,M514=23),(Main!$B$18-Current_limit!O514)*Current_limit!O514/(Main!$B$18*loop_gain!$B$17*(Helper_calcs!$B$14-Helper_calcs!$B$15)),x)))</f>
        <v>994835.35495889874</v>
      </c>
      <c r="Q514" s="161"/>
    </row>
    <row r="515" spans="1:17" x14ac:dyDescent="0.25">
      <c r="A515">
        <f t="shared" si="64"/>
        <v>5.7399999999999212</v>
      </c>
      <c r="B515">
        <f>Main!$B$19/A515</f>
        <v>0.87108013937283424</v>
      </c>
      <c r="D515" s="161">
        <f t="shared" si="57"/>
        <v>0.87108013937283424</v>
      </c>
      <c r="E515" s="161">
        <f>-B515*Main!$B$18-2*Main!$B$18*loop_gain!$B$17*loop_gain!$B$18</f>
        <v>-176.772961672474</v>
      </c>
      <c r="F515" s="161">
        <f>2*Main!$B$18*loop_gain!$B$17*loop_gain!$B$18*Helper_calcs!$B$14*Current_limit!B515</f>
        <v>565.02439024391015</v>
      </c>
      <c r="G515" s="161">
        <f t="shared" si="59"/>
        <v>3.2483230250004551</v>
      </c>
      <c r="H515" s="161">
        <f>(Main!$B$18-Current_limit!G515)*Current_limit!G515/(Main!$B$18*loop_gain!$B$17*loop_gain!$B$18)</f>
        <v>0.34185033459905423</v>
      </c>
      <c r="I515" s="161">
        <f t="shared" si="60"/>
        <v>3.5581496654009444</v>
      </c>
      <c r="J515" s="161"/>
      <c r="K515" s="163">
        <f>IF(A515&gt;$B$15,IF(I515&gt;Helper_calcs!$B$15,23,3),0)</f>
        <v>23</v>
      </c>
      <c r="L515" s="162">
        <f t="shared" si="58"/>
        <v>2</v>
      </c>
      <c r="M515" s="162">
        <f t="shared" si="61"/>
        <v>2</v>
      </c>
      <c r="N515" s="161">
        <f t="shared" si="62"/>
        <v>3.55</v>
      </c>
      <c r="O515" s="161">
        <f t="shared" si="63"/>
        <v>3.0923344947735614</v>
      </c>
      <c r="P515" s="149">
        <f>IF(OR(M515=0,M515=3),loop_gain!$B$18,IF(Current_limit!M515=1,Current_limit!$B$12/(2*(Current_limit!N515-Helper_calcs!$B$15)),IF(OR(M515=2,M515=23),(Main!$B$18-Current_limit!O515)*Current_limit!O515/(Main!$B$18*loop_gain!$B$17*(Helper_calcs!$B$14-Helper_calcs!$B$15)),x)))</f>
        <v>993704.23195224698</v>
      </c>
      <c r="Q515" s="161"/>
    </row>
    <row r="516" spans="1:17" x14ac:dyDescent="0.25">
      <c r="A516">
        <f t="shared" si="64"/>
        <v>5.749999999999921</v>
      </c>
      <c r="B516">
        <f>Main!$B$19/A516</f>
        <v>0.86956521739131631</v>
      </c>
      <c r="D516" s="161">
        <f t="shared" si="57"/>
        <v>0.86956521739131631</v>
      </c>
      <c r="E516" s="161">
        <f>-B516*Main!$B$18-2*Main!$B$18*loop_gain!$B$17*loop_gain!$B$18</f>
        <v>-176.75478260869579</v>
      </c>
      <c r="F516" s="161">
        <f>2*Main!$B$18*loop_gain!$B$17*loop_gain!$B$18*Helper_calcs!$B$14*Current_limit!B516</f>
        <v>564.04173913044247</v>
      </c>
      <c r="G516" s="161">
        <f t="shared" si="59"/>
        <v>3.2428319207460987</v>
      </c>
      <c r="H516" s="161">
        <f>(Main!$B$18-Current_limit!G516)*Current_limit!G516/(Main!$B$18*loop_gain!$B$17*loop_gain!$B$18)</f>
        <v>0.34148658228407108</v>
      </c>
      <c r="I516" s="161">
        <f t="shared" si="60"/>
        <v>3.5585134177159263</v>
      </c>
      <c r="J516" s="161"/>
      <c r="K516" s="163">
        <f>IF(A516&gt;$B$15,IF(I516&gt;Helper_calcs!$B$15,23,3),0)</f>
        <v>23</v>
      </c>
      <c r="L516" s="162">
        <f t="shared" si="58"/>
        <v>2</v>
      </c>
      <c r="M516" s="162">
        <f t="shared" si="61"/>
        <v>2</v>
      </c>
      <c r="N516" s="161">
        <f t="shared" si="62"/>
        <v>3.55</v>
      </c>
      <c r="O516" s="161">
        <f t="shared" si="63"/>
        <v>3.0869565217391726</v>
      </c>
      <c r="P516" s="149">
        <f>IF(OR(M516=0,M516=3),loop_gain!$B$18,IF(Current_limit!M516=1,Current_limit!$B$12/(2*(Current_limit!N516-Helper_calcs!$B$15)),IF(OR(M516=2,M516=23),(Main!$B$18-Current_limit!O516)*Current_limit!O516/(Main!$B$18*loop_gain!$B$17*(Helper_calcs!$B$14-Helper_calcs!$B$15)),x)))</f>
        <v>992574.95287741965</v>
      </c>
      <c r="Q516" s="161"/>
    </row>
    <row r="517" spans="1:17" x14ac:dyDescent="0.25">
      <c r="A517">
        <f t="shared" si="64"/>
        <v>5.7599999999999207</v>
      </c>
      <c r="B517">
        <f>Main!$B$19/A517</f>
        <v>0.86805555555556746</v>
      </c>
      <c r="D517" s="161">
        <f t="shared" si="57"/>
        <v>0.86805555555556746</v>
      </c>
      <c r="E517" s="161">
        <f>-B517*Main!$B$18-2*Main!$B$18*loop_gain!$B$17*loop_gain!$B$18</f>
        <v>-176.73666666666679</v>
      </c>
      <c r="F517" s="161">
        <f>2*Main!$B$18*loop_gain!$B$17*loop_gain!$B$18*Helper_calcs!$B$14*Current_limit!B517</f>
        <v>563.06250000000762</v>
      </c>
      <c r="G517" s="161">
        <f t="shared" si="59"/>
        <v>3.2373596543286012</v>
      </c>
      <c r="H517" s="161">
        <f>(Main!$B$18-Current_limit!G517)*Current_limit!G517/(Main!$B$18*loop_gain!$B$17*loop_gain!$B$18)</f>
        <v>0.34112335642699149</v>
      </c>
      <c r="I517" s="161">
        <f t="shared" si="60"/>
        <v>3.5588766435730017</v>
      </c>
      <c r="J517" s="161"/>
      <c r="K517" s="163">
        <f>IF(A517&gt;$B$15,IF(I517&gt;Helper_calcs!$B$15,23,3),0)</f>
        <v>23</v>
      </c>
      <c r="L517" s="162">
        <f t="shared" si="58"/>
        <v>2</v>
      </c>
      <c r="M517" s="162">
        <f t="shared" si="61"/>
        <v>2</v>
      </c>
      <c r="N517" s="161">
        <f t="shared" si="62"/>
        <v>3.55</v>
      </c>
      <c r="O517" s="161">
        <f t="shared" si="63"/>
        <v>3.0815972222222645</v>
      </c>
      <c r="P517" s="149">
        <f>IF(OR(M517=0,M517=3),loop_gain!$B$18,IF(Current_limit!M517=1,Current_limit!$B$12/(2*(Current_limit!N517-Helper_calcs!$B$15)),IF(OR(M517=2,M517=23),(Main!$B$18-Current_limit!O517)*Current_limit!O517/(Main!$B$18*loop_gain!$B$17*(Helper_calcs!$B$14-Helper_calcs!$B$15)),x)))</f>
        <v>991447.51899925002</v>
      </c>
      <c r="Q517" s="161"/>
    </row>
    <row r="518" spans="1:17" x14ac:dyDescent="0.25">
      <c r="A518">
        <f t="shared" si="64"/>
        <v>5.7699999999999205</v>
      </c>
      <c r="B518">
        <f>Main!$B$19/A518</f>
        <v>0.86655112651647637</v>
      </c>
      <c r="D518" s="161">
        <f t="shared" si="57"/>
        <v>0.86655112651647637</v>
      </c>
      <c r="E518" s="161">
        <f>-B518*Main!$B$18-2*Main!$B$18*loop_gain!$B$17*loop_gain!$B$18</f>
        <v>-176.71861351819771</v>
      </c>
      <c r="F518" s="161">
        <f>2*Main!$B$18*loop_gain!$B$17*loop_gain!$B$18*Helper_calcs!$B$14*Current_limit!B518</f>
        <v>562.08665511265929</v>
      </c>
      <c r="G518" s="161">
        <f t="shared" si="59"/>
        <v>3.2319061274180063</v>
      </c>
      <c r="H518" s="161">
        <f>(Main!$B$18-Current_limit!G518)*Current_limit!G518/(Main!$B$18*loop_gain!$B$17*loop_gain!$B$18)</f>
        <v>0.3407606579193605</v>
      </c>
      <c r="I518" s="161">
        <f t="shared" si="60"/>
        <v>3.5592393420806481</v>
      </c>
      <c r="J518" s="161"/>
      <c r="K518" s="163">
        <f>IF(A518&gt;$B$15,IF(I518&gt;Helper_calcs!$B$15,23,3),0)</f>
        <v>23</v>
      </c>
      <c r="L518" s="162">
        <f t="shared" si="58"/>
        <v>2</v>
      </c>
      <c r="M518" s="162">
        <f t="shared" si="61"/>
        <v>2</v>
      </c>
      <c r="N518" s="161">
        <f t="shared" si="62"/>
        <v>3.55</v>
      </c>
      <c r="O518" s="161">
        <f t="shared" si="63"/>
        <v>3.0762564991334909</v>
      </c>
      <c r="P518" s="149">
        <f>IF(OR(M518=0,M518=3),loop_gain!$B$18,IF(Current_limit!M518=1,Current_limit!$B$12/(2*(Current_limit!N518-Helper_calcs!$B$15)),IF(OR(M518=2,M518=23),(Main!$B$18-Current_limit!O518)*Current_limit!O518/(Main!$B$18*loop_gain!$B$17*(Helper_calcs!$B$14-Helper_calcs!$B$15)),x)))</f>
        <v>990321.93149858795</v>
      </c>
      <c r="Q518" s="161"/>
    </row>
    <row r="519" spans="1:17" x14ac:dyDescent="0.25">
      <c r="A519">
        <f t="shared" si="64"/>
        <v>5.7799999999999203</v>
      </c>
      <c r="B519">
        <f>Main!$B$19/A519</f>
        <v>0.86505190311419877</v>
      </c>
      <c r="D519" s="161">
        <f t="shared" si="57"/>
        <v>0.86505190311419877</v>
      </c>
      <c r="E519" s="161">
        <f>-B519*Main!$B$18-2*Main!$B$18*loop_gain!$B$17*loop_gain!$B$18</f>
        <v>-176.70062283737039</v>
      </c>
      <c r="F519" s="161">
        <f>2*Main!$B$18*loop_gain!$B$17*loop_gain!$B$18*Helper_calcs!$B$14*Current_limit!B519</f>
        <v>561.11418685121873</v>
      </c>
      <c r="G519" s="161">
        <f t="shared" si="59"/>
        <v>3.2264712423780795</v>
      </c>
      <c r="H519" s="161">
        <f>(Main!$B$18-Current_limit!G519)*Current_limit!G519/(Main!$B$18*loop_gain!$B$17*loop_gain!$B$18)</f>
        <v>0.34039848762198427</v>
      </c>
      <c r="I519" s="161">
        <f t="shared" si="60"/>
        <v>3.5596015123780163</v>
      </c>
      <c r="J519" s="161"/>
      <c r="K519" s="163">
        <f>IF(A519&gt;$B$15,IF(I519&gt;Helper_calcs!$B$15,23,3),0)</f>
        <v>23</v>
      </c>
      <c r="L519" s="162">
        <f t="shared" si="58"/>
        <v>2</v>
      </c>
      <c r="M519" s="162">
        <f t="shared" si="61"/>
        <v>2</v>
      </c>
      <c r="N519" s="161">
        <f t="shared" si="62"/>
        <v>3.55</v>
      </c>
      <c r="O519" s="161">
        <f t="shared" si="63"/>
        <v>3.0709342560554056</v>
      </c>
      <c r="P519" s="149">
        <f>IF(OR(M519=0,M519=3),loop_gain!$B$18,IF(Current_limit!M519=1,Current_limit!$B$12/(2*(Current_limit!N519-Helper_calcs!$B$15)),IF(OR(M519=2,M519=23),(Main!$B$18-Current_limit!O519)*Current_limit!O519/(Main!$B$18*loop_gain!$B$17*(Helper_calcs!$B$14-Helper_calcs!$B$15)),x)))</f>
        <v>989198.19147367647</v>
      </c>
      <c r="Q519" s="161"/>
    </row>
    <row r="520" spans="1:17" x14ac:dyDescent="0.25">
      <c r="A520">
        <f t="shared" si="64"/>
        <v>5.7899999999999201</v>
      </c>
      <c r="B520">
        <f>Main!$B$19/A520</f>
        <v>0.8635578583765231</v>
      </c>
      <c r="D520" s="161">
        <f t="shared" si="57"/>
        <v>0.8635578583765231</v>
      </c>
      <c r="E520" s="161">
        <f>-B520*Main!$B$18-2*Main!$B$18*loop_gain!$B$17*loop_gain!$B$18</f>
        <v>-176.68269430051828</v>
      </c>
      <c r="F520" s="161">
        <f>2*Main!$B$18*loop_gain!$B$17*loop_gain!$B$18*Helper_calcs!$B$14*Current_limit!B520</f>
        <v>560.14507772021489</v>
      </c>
      <c r="G520" s="161">
        <f t="shared" si="59"/>
        <v>3.2210549022602324</v>
      </c>
      <c r="H520" s="161">
        <f>(Main!$B$18-Current_limit!G520)*Current_limit!G520/(Main!$B$18*loop_gain!$B$17*loop_gain!$B$18)</f>
        <v>0.34003684636541748</v>
      </c>
      <c r="I520" s="161">
        <f t="shared" si="60"/>
        <v>3.5599631536345893</v>
      </c>
      <c r="J520" s="161"/>
      <c r="K520" s="163">
        <f>IF(A520&gt;$B$15,IF(I520&gt;Helper_calcs!$B$15,23,3),0)</f>
        <v>23</v>
      </c>
      <c r="L520" s="162">
        <f t="shared" si="58"/>
        <v>2</v>
      </c>
      <c r="M520" s="162">
        <f t="shared" si="61"/>
        <v>2</v>
      </c>
      <c r="N520" s="161">
        <f t="shared" si="62"/>
        <v>3.55</v>
      </c>
      <c r="O520" s="161">
        <f t="shared" si="63"/>
        <v>3.065630397236657</v>
      </c>
      <c r="P520" s="149">
        <f>IF(OR(M520=0,M520=3),loop_gain!$B$18,IF(Current_limit!M520=1,Current_limit!$B$12/(2*(Current_limit!N520-Helper_calcs!$B$15)),IF(OR(M520=2,M520=23),(Main!$B$18-Current_limit!O520)*Current_limit!O520/(Main!$B$18*loop_gain!$B$17*(Helper_calcs!$B$14-Helper_calcs!$B$15)),x)))</f>
        <v>988076.29994150484</v>
      </c>
      <c r="Q520" s="161"/>
    </row>
    <row r="521" spans="1:17" x14ac:dyDescent="0.25">
      <c r="A521">
        <f t="shared" si="64"/>
        <v>5.7999999999999199</v>
      </c>
      <c r="B521">
        <f>Main!$B$19/A521</f>
        <v>0.86206896551725332</v>
      </c>
      <c r="D521" s="161">
        <f t="shared" si="57"/>
        <v>0.86206896551725332</v>
      </c>
      <c r="E521" s="161">
        <f>-B521*Main!$B$18-2*Main!$B$18*loop_gain!$B$17*loop_gain!$B$18</f>
        <v>-176.66482758620702</v>
      </c>
      <c r="F521" s="161">
        <f>2*Main!$B$18*loop_gain!$B$17*loop_gain!$B$18*Helper_calcs!$B$14*Current_limit!B521</f>
        <v>559.17931034483524</v>
      </c>
      <c r="G521" s="161">
        <f t="shared" si="59"/>
        <v>3.2156570107972668</v>
      </c>
      <c r="H521" s="161">
        <f>(Main!$B$18-Current_limit!G521)*Current_limit!G521/(Main!$B$18*loop_gain!$B$17*loop_gain!$B$18)</f>
        <v>0.33967573495042797</v>
      </c>
      <c r="I521" s="161">
        <f t="shared" si="60"/>
        <v>3.5603242650495637</v>
      </c>
      <c r="J521" s="161"/>
      <c r="K521" s="163">
        <f>IF(A521&gt;$B$15,IF(I521&gt;Helper_calcs!$B$15,23,3),0)</f>
        <v>23</v>
      </c>
      <c r="L521" s="162">
        <f t="shared" si="58"/>
        <v>2</v>
      </c>
      <c r="M521" s="162">
        <f t="shared" si="61"/>
        <v>2</v>
      </c>
      <c r="N521" s="161">
        <f t="shared" si="62"/>
        <v>3.55</v>
      </c>
      <c r="O521" s="161">
        <f t="shared" si="63"/>
        <v>3.060344827586249</v>
      </c>
      <c r="P521" s="149">
        <f>IF(OR(M521=0,M521=3),loop_gain!$B$18,IF(Current_limit!M521=1,Current_limit!$B$12/(2*(Current_limit!N521-Helper_calcs!$B$15)),IF(OR(M521=2,M521=23),(Main!$B$18-Current_limit!O521)*Current_limit!O521/(Main!$B$18*loop_gain!$B$17*(Helper_calcs!$B$14-Helper_calcs!$B$15)),x)))</f>
        <v>986956.25783914467</v>
      </c>
      <c r="Q521" s="161"/>
    </row>
    <row r="522" spans="1:17" x14ac:dyDescent="0.25">
      <c r="A522">
        <f t="shared" si="64"/>
        <v>5.8099999999999197</v>
      </c>
      <c r="B522">
        <f>Main!$B$19/A522</f>
        <v>0.86058519793460742</v>
      </c>
      <c r="D522" s="161">
        <f t="shared" si="57"/>
        <v>0.86058519793460742</v>
      </c>
      <c r="E522" s="161">
        <f>-B522*Main!$B$18-2*Main!$B$18*loop_gain!$B$17*loop_gain!$B$18</f>
        <v>-176.64702237521527</v>
      </c>
      <c r="F522" s="161">
        <f>2*Main!$B$18*loop_gain!$B$17*loop_gain!$B$18*Helper_calcs!$B$14*Current_limit!B522</f>
        <v>558.21686746988712</v>
      </c>
      <c r="G522" s="161">
        <f t="shared" si="59"/>
        <v>3.2102774723974297</v>
      </c>
      <c r="H522" s="161">
        <f>(Main!$B$18-Current_limit!G522)*Current_limit!G522/(Main!$B$18*loop_gain!$B$17*loop_gain!$B$18)</f>
        <v>0.33931515414846958</v>
      </c>
      <c r="I522" s="161">
        <f t="shared" si="60"/>
        <v>3.5606848458515268</v>
      </c>
      <c r="J522" s="161"/>
      <c r="K522" s="163">
        <f>IF(A522&gt;$B$15,IF(I522&gt;Helper_calcs!$B$15,23,3),0)</f>
        <v>23</v>
      </c>
      <c r="L522" s="162">
        <f t="shared" si="58"/>
        <v>2</v>
      </c>
      <c r="M522" s="162">
        <f t="shared" si="61"/>
        <v>2</v>
      </c>
      <c r="N522" s="161">
        <f t="shared" si="62"/>
        <v>3.55</v>
      </c>
      <c r="O522" s="161">
        <f t="shared" si="63"/>
        <v>3.0550774526678564</v>
      </c>
      <c r="P522" s="149">
        <f>IF(OR(M522=0,M522=3),loop_gain!$B$18,IF(Current_limit!M522=1,Current_limit!$B$12/(2*(Current_limit!N522-Helper_calcs!$B$15)),IF(OR(M522=2,M522=23),(Main!$B$18-Current_limit!O522)*Current_limit!O522/(Main!$B$18*loop_gain!$B$17*(Helper_calcs!$B$14-Helper_calcs!$B$15)),x)))</f>
        <v>985838.06602506386</v>
      </c>
      <c r="Q522" s="161"/>
    </row>
    <row r="523" spans="1:17" x14ac:dyDescent="0.25">
      <c r="A523">
        <f t="shared" si="64"/>
        <v>5.8199999999999195</v>
      </c>
      <c r="B523">
        <f>Main!$B$19/A523</f>
        <v>0.85910652920963393</v>
      </c>
      <c r="D523" s="161">
        <f t="shared" si="57"/>
        <v>0.85910652920963393</v>
      </c>
      <c r="E523" s="161">
        <f>-B523*Main!$B$18-2*Main!$B$18*loop_gain!$B$17*loop_gain!$B$18</f>
        <v>-176.62927835051559</v>
      </c>
      <c r="F523" s="161">
        <f>2*Main!$B$18*loop_gain!$B$17*loop_gain!$B$18*Helper_calcs!$B$14*Current_limit!B523</f>
        <v>557.25773195877059</v>
      </c>
      <c r="G523" s="161">
        <f t="shared" si="59"/>
        <v>3.2049161921383003</v>
      </c>
      <c r="H523" s="161">
        <f>(Main!$B$18-Current_limit!G523)*Current_limit!G523/(Main!$B$18*loop_gain!$B$17*loop_gain!$B$18)</f>
        <v>0.33895510470213253</v>
      </c>
      <c r="I523" s="161">
        <f t="shared" si="60"/>
        <v>3.5610448952978633</v>
      </c>
      <c r="J523" s="161"/>
      <c r="K523" s="163">
        <f>IF(A523&gt;$B$15,IF(I523&gt;Helper_calcs!$B$15,23,3),0)</f>
        <v>23</v>
      </c>
      <c r="L523" s="162">
        <f t="shared" si="58"/>
        <v>2</v>
      </c>
      <c r="M523" s="162">
        <f t="shared" si="61"/>
        <v>2</v>
      </c>
      <c r="N523" s="161">
        <f t="shared" si="62"/>
        <v>3.55</v>
      </c>
      <c r="O523" s="161">
        <f t="shared" si="63"/>
        <v>3.0498281786942001</v>
      </c>
      <c r="P523" s="149">
        <f>IF(OR(M523=0,M523=3),loop_gain!$B$18,IF(Current_limit!M523=1,Current_limit!$B$12/(2*(Current_limit!N523-Helper_calcs!$B$15)),IF(OR(M523=2,M523=23),(Main!$B$18-Current_limit!O523)*Current_limit!O523/(Main!$B$18*loop_gain!$B$17*(Helper_calcs!$B$14-Helper_calcs!$B$15)),x)))</f>
        <v>984721.72528041957</v>
      </c>
      <c r="Q523" s="161"/>
    </row>
    <row r="524" spans="1:17" x14ac:dyDescent="0.25">
      <c r="A524">
        <f t="shared" si="64"/>
        <v>5.8299999999999192</v>
      </c>
      <c r="B524">
        <f>Main!$B$19/A524</f>
        <v>0.85763293310464306</v>
      </c>
      <c r="D524" s="161">
        <f t="shared" si="57"/>
        <v>0.85763293310464306</v>
      </c>
      <c r="E524" s="161">
        <f>-B524*Main!$B$18-2*Main!$B$18*loop_gain!$B$17*loop_gain!$B$18</f>
        <v>-176.61159519725572</v>
      </c>
      <c r="F524" s="161">
        <f>2*Main!$B$18*loop_gain!$B$17*loop_gain!$B$18*Helper_calcs!$B$14*Current_limit!B524</f>
        <v>556.30188679246044</v>
      </c>
      <c r="G524" s="161">
        <f t="shared" si="59"/>
        <v>3.1995730757609309</v>
      </c>
      <c r="H524" s="161">
        <f>(Main!$B$18-Current_limit!G524)*Current_limit!G524/(Main!$B$18*loop_gain!$B$17*loop_gain!$B$18)</f>
        <v>0.33859558732560013</v>
      </c>
      <c r="I524" s="161">
        <f t="shared" si="60"/>
        <v>3.5614044126743938</v>
      </c>
      <c r="J524" s="161"/>
      <c r="K524" s="163">
        <f>IF(A524&gt;$B$15,IF(I524&gt;Helper_calcs!$B$15,23,3),0)</f>
        <v>23</v>
      </c>
      <c r="L524" s="162">
        <f t="shared" si="58"/>
        <v>2</v>
      </c>
      <c r="M524" s="162">
        <f t="shared" si="61"/>
        <v>2</v>
      </c>
      <c r="N524" s="161">
        <f t="shared" si="62"/>
        <v>3.55</v>
      </c>
      <c r="O524" s="161">
        <f t="shared" si="63"/>
        <v>3.0445969125214827</v>
      </c>
      <c r="P524" s="149">
        <f>IF(OR(M524=0,M524=3),loop_gain!$B$18,IF(Current_limit!M524=1,Current_limit!$B$12/(2*(Current_limit!N524-Helper_calcs!$B$15)),IF(OR(M524=2,M524=23),(Main!$B$18-Current_limit!O524)*Current_limit!O524/(Main!$B$18*loop_gain!$B$17*(Helper_calcs!$B$14-Helper_calcs!$B$15)),x)))</f>
        <v>983607.23631033406</v>
      </c>
      <c r="Q524" s="161"/>
    </row>
    <row r="525" spans="1:17" x14ac:dyDescent="0.25">
      <c r="A525">
        <f t="shared" si="64"/>
        <v>5.839999999999919</v>
      </c>
      <c r="B525">
        <f>Main!$B$19/A525</f>
        <v>0.8561643835616557</v>
      </c>
      <c r="D525" s="161">
        <f t="shared" si="57"/>
        <v>0.8561643835616557</v>
      </c>
      <c r="E525" s="161">
        <f>-B525*Main!$B$18-2*Main!$B$18*loop_gain!$B$17*loop_gain!$B$18</f>
        <v>-176.59397260273985</v>
      </c>
      <c r="F525" s="161">
        <f>2*Main!$B$18*loop_gain!$B$17*loop_gain!$B$18*Helper_calcs!$B$14*Current_limit!B525</f>
        <v>555.3493150685008</v>
      </c>
      <c r="G525" s="161">
        <f t="shared" si="59"/>
        <v>3.1942480296639593</v>
      </c>
      <c r="H525" s="161">
        <f>(Main!$B$18-Current_limit!G525)*Current_limit!G525/(Main!$B$18*loop_gain!$B$17*loop_gain!$B$18)</f>
        <v>0.3382366027050917</v>
      </c>
      <c r="I525" s="161">
        <f t="shared" si="60"/>
        <v>3.5617633972949072</v>
      </c>
      <c r="J525" s="161"/>
      <c r="K525" s="163">
        <f>IF(A525&gt;$B$15,IF(I525&gt;Helper_calcs!$B$15,23,3),0)</f>
        <v>23</v>
      </c>
      <c r="L525" s="162">
        <f t="shared" si="58"/>
        <v>2</v>
      </c>
      <c r="M525" s="162">
        <f t="shared" si="61"/>
        <v>2</v>
      </c>
      <c r="N525" s="161">
        <f t="shared" si="62"/>
        <v>3.55</v>
      </c>
      <c r="O525" s="161">
        <f t="shared" si="63"/>
        <v>3.0393835616438776</v>
      </c>
      <c r="P525" s="149">
        <f>IF(OR(M525=0,M525=3),loop_gain!$B$18,IF(Current_limit!M525=1,Current_limit!$B$12/(2*(Current_limit!N525-Helper_calcs!$B$15)),IF(OR(M525=2,M525=23),(Main!$B$18-Current_limit!O525)*Current_limit!O525/(Main!$B$18*loop_gain!$B$17*(Helper_calcs!$B$14-Helper_calcs!$B$15)),x)))</f>
        <v>982494.59974514868</v>
      </c>
      <c r="Q525" s="161"/>
    </row>
    <row r="526" spans="1:17" x14ac:dyDescent="0.25">
      <c r="A526">
        <f t="shared" si="64"/>
        <v>5.8499999999999188</v>
      </c>
      <c r="B526">
        <f>Main!$B$19/A526</f>
        <v>0.85470085470086654</v>
      </c>
      <c r="D526" s="161">
        <f t="shared" si="57"/>
        <v>0.85470085470086654</v>
      </c>
      <c r="E526" s="161">
        <f>-B526*Main!$B$18-2*Main!$B$18*loop_gain!$B$17*loop_gain!$B$18</f>
        <v>-176.57641025641038</v>
      </c>
      <c r="F526" s="161">
        <f>2*Main!$B$18*loop_gain!$B$17*loop_gain!$B$18*Helper_calcs!$B$14*Current_limit!B526</f>
        <v>554.40000000000759</v>
      </c>
      <c r="G526" s="161">
        <f t="shared" si="59"/>
        <v>3.188940960897777</v>
      </c>
      <c r="H526" s="161">
        <f>(Main!$B$18-Current_limit!G526)*Current_limit!G526/(Main!$B$18*loop_gain!$B$17*loop_gain!$B$18)</f>
        <v>0.33787815149929878</v>
      </c>
      <c r="I526" s="161">
        <f t="shared" si="60"/>
        <v>3.5621218485006985</v>
      </c>
      <c r="J526" s="161"/>
      <c r="K526" s="163">
        <f>IF(A526&gt;$B$15,IF(I526&gt;Helper_calcs!$B$15,23,3),0)</f>
        <v>23</v>
      </c>
      <c r="L526" s="162">
        <f t="shared" si="58"/>
        <v>2</v>
      </c>
      <c r="M526" s="162">
        <f t="shared" si="61"/>
        <v>2</v>
      </c>
      <c r="N526" s="161">
        <f t="shared" si="62"/>
        <v>3.55</v>
      </c>
      <c r="O526" s="161">
        <f t="shared" si="63"/>
        <v>3.0341880341880763</v>
      </c>
      <c r="P526" s="149">
        <f>IF(OR(M526=0,M526=3),loop_gain!$B$18,IF(Current_limit!M526=1,Current_limit!$B$12/(2*(Current_limit!N526-Helper_calcs!$B$15)),IF(OR(M526=2,M526=23),(Main!$B$18-Current_limit!O526)*Current_limit!O526/(Main!$B$18*loop_gain!$B$17*(Helper_calcs!$B$14-Helper_calcs!$B$15)),x)))</f>
        <v>981383.81614166021</v>
      </c>
      <c r="Q526" s="161"/>
    </row>
    <row r="527" spans="1:17" x14ac:dyDescent="0.25">
      <c r="A527">
        <f t="shared" si="64"/>
        <v>5.8599999999999186</v>
      </c>
      <c r="B527">
        <f>Main!$B$19/A527</f>
        <v>0.85324232081912443</v>
      </c>
      <c r="D527" s="161">
        <f t="shared" si="57"/>
        <v>0.85324232081912443</v>
      </c>
      <c r="E527" s="161">
        <f>-B527*Main!$B$18-2*Main!$B$18*loop_gain!$B$17*loop_gain!$B$18</f>
        <v>-176.5589078498295</v>
      </c>
      <c r="F527" s="161">
        <f>2*Main!$B$18*loop_gain!$B$17*loop_gain!$B$18*Helper_calcs!$B$14*Current_limit!B527</f>
        <v>553.4539249146834</v>
      </c>
      <c r="G527" s="161">
        <f t="shared" si="59"/>
        <v>3.1836517771588233</v>
      </c>
      <c r="H527" s="161">
        <f>(Main!$B$18-Current_limit!G527)*Current_limit!G527/(Main!$B$18*loop_gain!$B$17*loop_gain!$B$18)</f>
        <v>0.33752023433981898</v>
      </c>
      <c r="I527" s="161">
        <f t="shared" si="60"/>
        <v>3.5624797656601799</v>
      </c>
      <c r="J527" s="161"/>
      <c r="K527" s="163">
        <f>IF(A527&gt;$B$15,IF(I527&gt;Helper_calcs!$B$15,23,3),0)</f>
        <v>23</v>
      </c>
      <c r="L527" s="162">
        <f t="shared" si="58"/>
        <v>2</v>
      </c>
      <c r="M527" s="162">
        <f t="shared" si="61"/>
        <v>2</v>
      </c>
      <c r="N527" s="161">
        <f t="shared" si="62"/>
        <v>3.55</v>
      </c>
      <c r="O527" s="161">
        <f t="shared" si="63"/>
        <v>3.0290102389078917</v>
      </c>
      <c r="P527" s="149">
        <f>IF(OR(M527=0,M527=3),loop_gain!$B$18,IF(Current_limit!M527=1,Current_limit!$B$12/(2*(Current_limit!N527-Helper_calcs!$B$15)),IF(OR(M527=2,M527=23),(Main!$B$18-Current_limit!O527)*Current_limit!O527/(Main!$B$18*loop_gain!$B$17*(Helper_calcs!$B$14-Helper_calcs!$B$15)),x)))</f>
        <v>980274.8859843387</v>
      </c>
      <c r="Q527" s="161"/>
    </row>
    <row r="528" spans="1:17" x14ac:dyDescent="0.25">
      <c r="A528">
        <f t="shared" si="64"/>
        <v>5.8699999999999184</v>
      </c>
      <c r="B528">
        <f>Main!$B$19/A528</f>
        <v>0.85178875638842755</v>
      </c>
      <c r="D528" s="161">
        <f t="shared" si="57"/>
        <v>0.85178875638842755</v>
      </c>
      <c r="E528" s="161">
        <f>-B528*Main!$B$18-2*Main!$B$18*loop_gain!$B$17*loop_gain!$B$18</f>
        <v>-176.54146507666113</v>
      </c>
      <c r="F528" s="161">
        <f>2*Main!$B$18*loop_gain!$B$17*loop_gain!$B$18*Helper_calcs!$B$14*Current_limit!B528</f>
        <v>552.51107325384066</v>
      </c>
      <c r="G528" s="161">
        <f t="shared" si="59"/>
        <v>3.1783803867838585</v>
      </c>
      <c r="H528" s="161">
        <f>(Main!$B$18-Current_limit!G528)*Current_limit!G528/(Main!$B$18*loop_gain!$B$17*loop_gain!$B$18)</f>
        <v>0.33716285183157757</v>
      </c>
      <c r="I528" s="161">
        <f t="shared" si="60"/>
        <v>3.5628371481684087</v>
      </c>
      <c r="J528" s="161"/>
      <c r="K528" s="163">
        <f>IF(A528&gt;$B$15,IF(I528&gt;Helper_calcs!$B$15,23,3),0)</f>
        <v>23</v>
      </c>
      <c r="L528" s="162">
        <f t="shared" si="58"/>
        <v>2</v>
      </c>
      <c r="M528" s="162">
        <f t="shared" si="61"/>
        <v>2</v>
      </c>
      <c r="N528" s="161">
        <f t="shared" si="62"/>
        <v>3.55</v>
      </c>
      <c r="O528" s="161">
        <f t="shared" si="63"/>
        <v>3.0238500851789176</v>
      </c>
      <c r="P528" s="149">
        <f>IF(OR(M528=0,M528=3),loop_gain!$B$18,IF(Current_limit!M528=1,Current_limit!$B$12/(2*(Current_limit!N528-Helper_calcs!$B$15)),IF(OR(M528=2,M528=23),(Main!$B$18-Current_limit!O528)*Current_limit!O528/(Main!$B$18*loop_gain!$B$17*(Helper_calcs!$B$14-Helper_calcs!$B$15)),x)))</f>
        <v>979167.80968652503</v>
      </c>
      <c r="Q528" s="161"/>
    </row>
    <row r="529" spans="1:17" x14ac:dyDescent="0.25">
      <c r="A529">
        <f t="shared" si="64"/>
        <v>5.8799999999999182</v>
      </c>
      <c r="B529">
        <f>Main!$B$19/A529</f>
        <v>0.85034013605443359</v>
      </c>
      <c r="D529" s="161">
        <f t="shared" si="57"/>
        <v>0.85034013605443359</v>
      </c>
      <c r="E529" s="161">
        <f>-B529*Main!$B$18-2*Main!$B$18*loop_gain!$B$17*loop_gain!$B$18</f>
        <v>-176.52408163265321</v>
      </c>
      <c r="F529" s="161">
        <f>2*Main!$B$18*loop_gain!$B$17*loop_gain!$B$18*Helper_calcs!$B$14*Current_limit!B529</f>
        <v>551.57142857143617</v>
      </c>
      <c r="G529" s="161">
        <f t="shared" si="59"/>
        <v>3.1731266987444164</v>
      </c>
      <c r="H529" s="161">
        <f>(Main!$B$18-Current_limit!G529)*Current_limit!G529/(Main!$B$18*loop_gain!$B$17*loop_gain!$B$18)</f>
        <v>0.33680600455325105</v>
      </c>
      <c r="I529" s="161">
        <f t="shared" si="60"/>
        <v>3.5631939954467562</v>
      </c>
      <c r="J529" s="161"/>
      <c r="K529" s="163">
        <f>IF(A529&gt;$B$15,IF(I529&gt;Helper_calcs!$B$15,23,3),0)</f>
        <v>23</v>
      </c>
      <c r="L529" s="162">
        <f t="shared" si="58"/>
        <v>2</v>
      </c>
      <c r="M529" s="162">
        <f t="shared" si="61"/>
        <v>2</v>
      </c>
      <c r="N529" s="161">
        <f t="shared" si="62"/>
        <v>3.55</v>
      </c>
      <c r="O529" s="161">
        <f t="shared" si="63"/>
        <v>3.0187074829932392</v>
      </c>
      <c r="P529" s="149">
        <f>IF(OR(M529=0,M529=3),loop_gain!$B$18,IF(Current_limit!M529=1,Current_limit!$B$12/(2*(Current_limit!N529-Helper_calcs!$B$15)),IF(OR(M529=2,M529=23),(Main!$B$18-Current_limit!O529)*Current_limit!O529/(Main!$B$18*loop_gain!$B$17*(Helper_calcs!$B$14-Helper_calcs!$B$15)),x)))</f>
        <v>978062.58759161271</v>
      </c>
      <c r="Q529" s="161"/>
    </row>
    <row r="530" spans="1:17" x14ac:dyDescent="0.25">
      <c r="A530">
        <f t="shared" si="64"/>
        <v>5.889999999999918</v>
      </c>
      <c r="B530">
        <f>Main!$B$19/A530</f>
        <v>0.84889643463498632</v>
      </c>
      <c r="D530" s="161">
        <f t="shared" si="57"/>
        <v>0.84889643463498632</v>
      </c>
      <c r="E530" s="161">
        <f>-B530*Main!$B$18-2*Main!$B$18*loop_gain!$B$17*loop_gain!$B$18</f>
        <v>-176.50675721561981</v>
      </c>
      <c r="F530" s="161">
        <f>2*Main!$B$18*loop_gain!$B$17*loop_gain!$B$18*Helper_calcs!$B$14*Current_limit!B530</f>
        <v>550.63497453311459</v>
      </c>
      <c r="G530" s="161">
        <f t="shared" si="59"/>
        <v>3.1678906226411021</v>
      </c>
      <c r="H530" s="161">
        <f>(Main!$B$18-Current_limit!G530)*Current_limit!G530/(Main!$B$18*loop_gain!$B$17*loop_gain!$B$18)</f>
        <v>0.33644969305766947</v>
      </c>
      <c r="I530" s="161">
        <f t="shared" si="60"/>
        <v>3.5635503069423313</v>
      </c>
      <c r="J530" s="161"/>
      <c r="K530" s="163">
        <f>IF(A530&gt;$B$15,IF(I530&gt;Helper_calcs!$B$15,23,3),0)</f>
        <v>23</v>
      </c>
      <c r="L530" s="162">
        <f t="shared" si="58"/>
        <v>2</v>
      </c>
      <c r="M530" s="162">
        <f t="shared" si="61"/>
        <v>2</v>
      </c>
      <c r="N530" s="161">
        <f t="shared" si="62"/>
        <v>3.55</v>
      </c>
      <c r="O530" s="161">
        <f t="shared" si="63"/>
        <v>3.0135823429542015</v>
      </c>
      <c r="P530" s="149">
        <f>IF(OR(M530=0,M530=3),loop_gain!$B$18,IF(Current_limit!M530=1,Current_limit!$B$12/(2*(Current_limit!N530-Helper_calcs!$B$15)),IF(OR(M530=2,M530=23),(Main!$B$18-Current_limit!O530)*Current_limit!O530/(Main!$B$18*loop_gain!$B$17*(Helper_calcs!$B$14-Helper_calcs!$B$15)),x)))</f>
        <v>976959.21997420979</v>
      </c>
      <c r="Q530" s="161"/>
    </row>
    <row r="531" spans="1:17" x14ac:dyDescent="0.25">
      <c r="A531">
        <f t="shared" si="64"/>
        <v>5.8999999999999178</v>
      </c>
      <c r="B531">
        <f>Main!$B$19/A531</f>
        <v>0.84745762711865591</v>
      </c>
      <c r="D531" s="161">
        <f t="shared" si="57"/>
        <v>0.84745762711865591</v>
      </c>
      <c r="E531" s="161">
        <f>-B531*Main!$B$18-2*Main!$B$18*loop_gain!$B$17*loop_gain!$B$18</f>
        <v>-176.48949152542386</v>
      </c>
      <c r="F531" s="161">
        <f>2*Main!$B$18*loop_gain!$B$17*loop_gain!$B$18*Helper_calcs!$B$14*Current_limit!B531</f>
        <v>549.7016949152619</v>
      </c>
      <c r="G531" s="161">
        <f t="shared" si="59"/>
        <v>3.1626720686982472</v>
      </c>
      <c r="H531" s="161">
        <f>(Main!$B$18-Current_limit!G531)*Current_limit!G531/(Main!$B$18*loop_gain!$B$17*loop_gain!$B$18)</f>
        <v>0.33609391787223325</v>
      </c>
      <c r="I531" s="161">
        <f t="shared" si="60"/>
        <v>3.5639060821277631</v>
      </c>
      <c r="J531" s="161"/>
      <c r="K531" s="163">
        <f>IF(A531&gt;$B$15,IF(I531&gt;Helper_calcs!$B$15,23,3),0)</f>
        <v>23</v>
      </c>
      <c r="L531" s="162">
        <f t="shared" si="58"/>
        <v>2</v>
      </c>
      <c r="M531" s="162">
        <f t="shared" si="61"/>
        <v>2</v>
      </c>
      <c r="N531" s="161">
        <f t="shared" si="62"/>
        <v>3.55</v>
      </c>
      <c r="O531" s="161">
        <f t="shared" si="63"/>
        <v>3.0084745762712282</v>
      </c>
      <c r="P531" s="149">
        <f>IF(OR(M531=0,M531=3),loop_gain!$B$18,IF(Current_limit!M531=1,Current_limit!$B$12/(2*(Current_limit!N531-Helper_calcs!$B$15)),IF(OR(M531=2,M531=23),(Main!$B$18-Current_limit!O531)*Current_limit!O531/(Main!$B$18*loop_gain!$B$17*(Helper_calcs!$B$14-Helper_calcs!$B$15)),x)))</f>
        <v>975857.70704128442</v>
      </c>
      <c r="Q531" s="161"/>
    </row>
    <row r="532" spans="1:17" x14ac:dyDescent="0.25">
      <c r="A532">
        <f t="shared" si="64"/>
        <v>5.9099999999999175</v>
      </c>
      <c r="B532">
        <f>Main!$B$19/A532</f>
        <v>0.84602368866329436</v>
      </c>
      <c r="D532" s="161">
        <f t="shared" si="57"/>
        <v>0.84602368866329436</v>
      </c>
      <c r="E532" s="161">
        <f>-B532*Main!$B$18-2*Main!$B$18*loop_gain!$B$17*loop_gain!$B$18</f>
        <v>-176.47228426395952</v>
      </c>
      <c r="F532" s="161">
        <f>2*Main!$B$18*loop_gain!$B$17*loop_gain!$B$18*Helper_calcs!$B$14*Current_limit!B532</f>
        <v>548.77157360406852</v>
      </c>
      <c r="G532" s="161">
        <f t="shared" si="59"/>
        <v>3.1574709477583771</v>
      </c>
      <c r="H532" s="161">
        <f>(Main!$B$18-Current_limit!G532)*Current_limit!G532/(Main!$B$18*loop_gain!$B$17*loop_gain!$B$18)</f>
        <v>0.33573867949930669</v>
      </c>
      <c r="I532" s="161">
        <f t="shared" si="60"/>
        <v>3.5642613205006963</v>
      </c>
      <c r="J532" s="161"/>
      <c r="K532" s="163">
        <f>IF(A532&gt;$B$15,IF(I532&gt;Helper_calcs!$B$15,23,3),0)</f>
        <v>23</v>
      </c>
      <c r="L532" s="162">
        <f t="shared" si="58"/>
        <v>2</v>
      </c>
      <c r="M532" s="162">
        <f t="shared" si="61"/>
        <v>2</v>
      </c>
      <c r="N532" s="161">
        <f t="shared" si="62"/>
        <v>3.55</v>
      </c>
      <c r="O532" s="161">
        <f t="shared" si="63"/>
        <v>3.0033840947546948</v>
      </c>
      <c r="P532" s="149">
        <f>IF(OR(M532=0,M532=3),loop_gain!$B$18,IF(Current_limit!M532=1,Current_limit!$B$12/(2*(Current_limit!N532-Helper_calcs!$B$15)),IF(OR(M532=2,M532=23),(Main!$B$18-Current_limit!O532)*Current_limit!O532/(Main!$B$18*loop_gain!$B$17*(Helper_calcs!$B$14-Helper_calcs!$B$15)),x)))</f>
        <v>974758.04893329262</v>
      </c>
      <c r="Q532" s="161"/>
    </row>
    <row r="533" spans="1:17" x14ac:dyDescent="0.25">
      <c r="A533">
        <f t="shared" si="64"/>
        <v>5.9199999999999173</v>
      </c>
      <c r="B533">
        <f>Main!$B$19/A533</f>
        <v>0.8445945945946064</v>
      </c>
      <c r="D533" s="161">
        <f t="shared" si="57"/>
        <v>0.8445945945946064</v>
      </c>
      <c r="E533" s="161">
        <f>-B533*Main!$B$18-2*Main!$B$18*loop_gain!$B$17*loop_gain!$B$18</f>
        <v>-176.45513513513527</v>
      </c>
      <c r="F533" s="161">
        <f>2*Main!$B$18*loop_gain!$B$17*loop_gain!$B$18*Helper_calcs!$B$14*Current_limit!B533</f>
        <v>547.8445945946022</v>
      </c>
      <c r="G533" s="161">
        <f t="shared" si="59"/>
        <v>3.1522871712768179</v>
      </c>
      <c r="H533" s="161">
        <f>(Main!$B$18-Current_limit!G533)*Current_limit!G533/(Main!$B$18*loop_gain!$B$17*loop_gain!$B$18)</f>
        <v>0.33538397841661155</v>
      </c>
      <c r="I533" s="161">
        <f t="shared" si="60"/>
        <v>3.5646160215833942</v>
      </c>
      <c r="J533" s="161"/>
      <c r="K533" s="163">
        <f>IF(A533&gt;$B$15,IF(I533&gt;Helper_calcs!$B$15,23,3),0)</f>
        <v>23</v>
      </c>
      <c r="L533" s="162">
        <f t="shared" si="58"/>
        <v>2</v>
      </c>
      <c r="M533" s="162">
        <f t="shared" si="61"/>
        <v>2</v>
      </c>
      <c r="N533" s="161">
        <f t="shared" si="62"/>
        <v>3.55</v>
      </c>
      <c r="O533" s="161">
        <f t="shared" si="63"/>
        <v>2.9983108108108527</v>
      </c>
      <c r="P533" s="149">
        <f>IF(OR(M533=0,M533=3),loop_gain!$B$18,IF(Current_limit!M533=1,Current_limit!$B$12/(2*(Current_limit!N533-Helper_calcs!$B$15)),IF(OR(M533=2,M533=23),(Main!$B$18-Current_limit!O533)*Current_limit!O533/(Main!$B$18*loop_gain!$B$17*(Helper_calcs!$B$14-Helper_calcs!$B$15)),x)))</f>
        <v>973660.24572528887</v>
      </c>
      <c r="Q533" s="161"/>
    </row>
    <row r="534" spans="1:17" x14ac:dyDescent="0.25">
      <c r="A534">
        <f t="shared" si="64"/>
        <v>5.9299999999999171</v>
      </c>
      <c r="B534">
        <f>Main!$B$19/A534</f>
        <v>0.8431703204047335</v>
      </c>
      <c r="D534" s="161">
        <f t="shared" si="57"/>
        <v>0.8431703204047335</v>
      </c>
      <c r="E534" s="161">
        <f>-B534*Main!$B$18-2*Main!$B$18*loop_gain!$B$17*loop_gain!$B$18</f>
        <v>-176.43804384485679</v>
      </c>
      <c r="F534" s="161">
        <f>2*Main!$B$18*loop_gain!$B$17*loop_gain!$B$18*Helper_calcs!$B$14*Current_limit!B534</f>
        <v>546.92074198988951</v>
      </c>
      <c r="G534" s="161">
        <f t="shared" si="59"/>
        <v>3.1471206513163965</v>
      </c>
      <c r="H534" s="161">
        <f>(Main!$B$18-Current_limit!G534)*Current_limit!G534/(Main!$B$18*loop_gain!$B$17*loop_gain!$B$18)</f>
        <v>0.33502981507761692</v>
      </c>
      <c r="I534" s="161">
        <f t="shared" si="60"/>
        <v>3.564970184922386</v>
      </c>
      <c r="J534" s="161"/>
      <c r="K534" s="163">
        <f>IF(A534&gt;$B$15,IF(I534&gt;Helper_calcs!$B$15,23,3),0)</f>
        <v>23</v>
      </c>
      <c r="L534" s="162">
        <f t="shared" si="58"/>
        <v>2</v>
      </c>
      <c r="M534" s="162">
        <f t="shared" si="61"/>
        <v>2</v>
      </c>
      <c r="N534" s="161">
        <f t="shared" si="62"/>
        <v>3.55</v>
      </c>
      <c r="O534" s="161">
        <f t="shared" si="63"/>
        <v>2.9932546374368036</v>
      </c>
      <c r="P534" s="149">
        <f>IF(OR(M534=0,M534=3),loop_gain!$B$18,IF(Current_limit!M534=1,Current_limit!$B$12/(2*(Current_limit!N534-Helper_calcs!$B$15)),IF(OR(M534=2,M534=23),(Main!$B$18-Current_limit!O534)*Current_limit!O534/(Main!$B$18*loop_gain!$B$17*(Helper_calcs!$B$14-Helper_calcs!$B$15)),x)))</f>
        <v>972564.29742802028</v>
      </c>
      <c r="Q534" s="161"/>
    </row>
    <row r="535" spans="1:17" x14ac:dyDescent="0.25">
      <c r="A535">
        <f t="shared" si="64"/>
        <v>5.9399999999999169</v>
      </c>
      <c r="B535">
        <f>Main!$B$19/A535</f>
        <v>0.84175084175085357</v>
      </c>
      <c r="D535" s="161">
        <f t="shared" ref="D535:D598" si="65">B535</f>
        <v>0.84175084175085357</v>
      </c>
      <c r="E535" s="161">
        <f>-B535*Main!$B$18-2*Main!$B$18*loop_gain!$B$17*loop_gain!$B$18</f>
        <v>-176.42101010101024</v>
      </c>
      <c r="F535" s="161">
        <f>2*Main!$B$18*loop_gain!$B$17*loop_gain!$B$18*Helper_calcs!$B$14*Current_limit!B535</f>
        <v>546.00000000000762</v>
      </c>
      <c r="G535" s="161">
        <f t="shared" si="59"/>
        <v>3.1419713005421555</v>
      </c>
      <c r="H535" s="161">
        <f>(Main!$B$18-Current_limit!G535)*Current_limit!G535/(Main!$B$18*loop_gain!$B$17*loop_gain!$B$18)</f>
        <v>0.33467618991192044</v>
      </c>
      <c r="I535" s="161">
        <f t="shared" si="60"/>
        <v>3.565323810088068</v>
      </c>
      <c r="J535" s="161"/>
      <c r="K535" s="163">
        <f>IF(A535&gt;$B$15,IF(I535&gt;Helper_calcs!$B$15,23,3),0)</f>
        <v>23</v>
      </c>
      <c r="L535" s="162">
        <f t="shared" ref="L535:L598" si="66">IF(A535&gt;$B$13,IF(A535&gt;$B$14,2,1),0)</f>
        <v>2</v>
      </c>
      <c r="M535" s="162">
        <f t="shared" si="61"/>
        <v>2</v>
      </c>
      <c r="N535" s="161">
        <f t="shared" si="62"/>
        <v>3.55</v>
      </c>
      <c r="O535" s="161">
        <f t="shared" si="63"/>
        <v>2.9882154882155301</v>
      </c>
      <c r="P535" s="149">
        <f>IF(OR(M535=0,M535=3),loop_gain!$B$18,IF(Current_limit!M535=1,Current_limit!$B$12/(2*(Current_limit!N535-Helper_calcs!$B$15)),IF(OR(M535=2,M535=23),(Main!$B$18-Current_limit!O535)*Current_limit!O535/(Main!$B$18*loop_gain!$B$17*(Helper_calcs!$B$14-Helper_calcs!$B$15)),x)))</f>
        <v>971470.20398900413</v>
      </c>
      <c r="Q535" s="161"/>
    </row>
    <row r="536" spans="1:17" x14ac:dyDescent="0.25">
      <c r="A536">
        <f t="shared" si="64"/>
        <v>5.9499999999999167</v>
      </c>
      <c r="B536">
        <f>Main!$B$19/A536</f>
        <v>0.84033613445379329</v>
      </c>
      <c r="D536" s="161">
        <f t="shared" si="65"/>
        <v>0.84033613445379329</v>
      </c>
      <c r="E536" s="161">
        <f>-B536*Main!$B$18-2*Main!$B$18*loop_gain!$B$17*loop_gain!$B$18</f>
        <v>-176.40403361344551</v>
      </c>
      <c r="F536" s="161">
        <f>2*Main!$B$18*loop_gain!$B$17*loop_gain!$B$18*Helper_calcs!$B$14*Current_limit!B536</f>
        <v>545.08235294118401</v>
      </c>
      <c r="G536" s="161">
        <f t="shared" ref="G536:G599" si="67">(-E536-SQRT(E536^2-4*D536*F536))/(2*D536)</f>
        <v>3.136839032216169</v>
      </c>
      <c r="H536" s="161">
        <f>(Main!$B$18-Current_limit!G536)*Current_limit!G536/(Main!$B$18*loop_gain!$B$17*loop_gain!$B$18)</f>
        <v>0.33432310332562715</v>
      </c>
      <c r="I536" s="161">
        <f t="shared" ref="I536:I599" si="68">(G536/B536)-0.5*H536</f>
        <v>3.565676896674375</v>
      </c>
      <c r="J536" s="161"/>
      <c r="K536" s="163">
        <f>IF(A536&gt;$B$15,IF(I536&gt;Helper_calcs!$B$15,23,3),0)</f>
        <v>23</v>
      </c>
      <c r="L536" s="162">
        <f t="shared" si="66"/>
        <v>2</v>
      </c>
      <c r="M536" s="162">
        <f t="shared" ref="M536:M599" si="69">IF($B$16="N",L536,K536)</f>
        <v>2</v>
      </c>
      <c r="N536" s="161">
        <f t="shared" ref="N536:N599" si="70">IF(OR(M536=0,M536=1),A536,IF(OR(M536=2,M536=23),$B$14,G536/B536))</f>
        <v>3.55</v>
      </c>
      <c r="O536" s="161">
        <f t="shared" ref="O536:O599" si="71">N536*B536</f>
        <v>2.9831932773109662</v>
      </c>
      <c r="P536" s="149">
        <f>IF(OR(M536=0,M536=3),loop_gain!$B$18,IF(Current_limit!M536=1,Current_limit!$B$12/(2*(Current_limit!N536-Helper_calcs!$B$15)),IF(OR(M536=2,M536=23),(Main!$B$18-Current_limit!O536)*Current_limit!O536/(Main!$B$18*loop_gain!$B$17*(Helper_calcs!$B$14-Helper_calcs!$B$15)),x)))</f>
        <v>970377.965293588</v>
      </c>
      <c r="Q536" s="161"/>
    </row>
    <row r="537" spans="1:17" x14ac:dyDescent="0.25">
      <c r="A537">
        <f t="shared" si="64"/>
        <v>5.9599999999999165</v>
      </c>
      <c r="B537">
        <f>Main!$B$19/A537</f>
        <v>0.83892617449665607</v>
      </c>
      <c r="D537" s="161">
        <f t="shared" si="65"/>
        <v>0.83892617449665607</v>
      </c>
      <c r="E537" s="161">
        <f>-B537*Main!$B$18-2*Main!$B$18*loop_gain!$B$17*loop_gain!$B$18</f>
        <v>-176.38711409395987</v>
      </c>
      <c r="F537" s="161">
        <f>2*Main!$B$18*loop_gain!$B$17*loop_gain!$B$18*Helper_calcs!$B$14*Current_limit!B537</f>
        <v>544.16778523490689</v>
      </c>
      <c r="G537" s="161">
        <f t="shared" si="67"/>
        <v>3.1317237601922816</v>
      </c>
      <c r="H537" s="161">
        <f>(Main!$B$18-Current_limit!G537)*Current_limit!G537/(Main!$B$18*loop_gain!$B$17*loop_gain!$B$18)</f>
        <v>0.33397055570171352</v>
      </c>
      <c r="I537" s="161">
        <f t="shared" si="68"/>
        <v>3.5660294442982905</v>
      </c>
      <c r="J537" s="161"/>
      <c r="K537" s="163">
        <f>IF(A537&gt;$B$15,IF(I537&gt;Helper_calcs!$B$15,23,3),0)</f>
        <v>23</v>
      </c>
      <c r="L537" s="162">
        <f t="shared" si="66"/>
        <v>2</v>
      </c>
      <c r="M537" s="162">
        <f t="shared" si="69"/>
        <v>2</v>
      </c>
      <c r="N537" s="161">
        <f t="shared" si="70"/>
        <v>3.55</v>
      </c>
      <c r="O537" s="161">
        <f t="shared" si="71"/>
        <v>2.9781879194631289</v>
      </c>
      <c r="P537" s="149">
        <f>IF(OR(M537=0,M537=3),loop_gain!$B$18,IF(Current_limit!M537=1,Current_limit!$B$12/(2*(Current_limit!N537-Helper_calcs!$B$15)),IF(OR(M537=2,M537=23),(Main!$B$18-Current_limit!O537)*Current_limit!O537/(Main!$B$18*loop_gain!$B$17*(Helper_calcs!$B$14-Helper_calcs!$B$15)),x)))</f>
        <v>969287.58116599708</v>
      </c>
      <c r="Q537" s="161"/>
    </row>
    <row r="538" spans="1:17" x14ac:dyDescent="0.25">
      <c r="A538">
        <f t="shared" si="64"/>
        <v>5.9699999999999163</v>
      </c>
      <c r="B538">
        <f>Main!$B$19/A538</f>
        <v>0.83752093802346228</v>
      </c>
      <c r="D538" s="161">
        <f t="shared" si="65"/>
        <v>0.83752093802346228</v>
      </c>
      <c r="E538" s="161">
        <f>-B538*Main!$B$18-2*Main!$B$18*loop_gain!$B$17*loop_gain!$B$18</f>
        <v>-176.37025125628153</v>
      </c>
      <c r="F538" s="161">
        <f>2*Main!$B$18*loop_gain!$B$17*loop_gain!$B$18*Helper_calcs!$B$14*Current_limit!B538</f>
        <v>543.25628140704271</v>
      </c>
      <c r="G538" s="161">
        <f t="shared" si="67"/>
        <v>3.1266253989111066</v>
      </c>
      <c r="H538" s="161">
        <f>(Main!$B$18-Current_limit!G538)*Current_limit!G538/(Main!$B$18*loop_gain!$B$17*loop_gain!$B$18)</f>
        <v>0.33361854740039976</v>
      </c>
      <c r="I538" s="161">
        <f t="shared" si="68"/>
        <v>3.5663814525996091</v>
      </c>
      <c r="J538" s="161"/>
      <c r="K538" s="163">
        <f>IF(A538&gt;$B$15,IF(I538&gt;Helper_calcs!$B$15,23,3),0)</f>
        <v>23</v>
      </c>
      <c r="L538" s="162">
        <f t="shared" si="66"/>
        <v>2</v>
      </c>
      <c r="M538" s="162">
        <f t="shared" si="69"/>
        <v>2</v>
      </c>
      <c r="N538" s="161">
        <f t="shared" si="70"/>
        <v>3.55</v>
      </c>
      <c r="O538" s="161">
        <f t="shared" si="71"/>
        <v>2.9731993299832911</v>
      </c>
      <c r="P538" s="149">
        <f>IF(OR(M538=0,M538=3),loop_gain!$B$18,IF(Current_limit!M538=1,Current_limit!$B$12/(2*(Current_limit!N538-Helper_calcs!$B$15)),IF(OR(M538=2,M538=23),(Main!$B$18-Current_limit!O538)*Current_limit!O538/(Main!$B$18*loop_gain!$B$17*(Helper_calcs!$B$14-Helper_calcs!$B$15)),x)))</f>
        <v>968199.05137036112</v>
      </c>
      <c r="Q538" s="161"/>
    </row>
    <row r="539" spans="1:17" x14ac:dyDescent="0.25">
      <c r="A539">
        <f t="shared" si="64"/>
        <v>5.979999999999916</v>
      </c>
      <c r="B539">
        <f>Main!$B$19/A539</f>
        <v>0.83612040133780441</v>
      </c>
      <c r="D539" s="161">
        <f t="shared" si="65"/>
        <v>0.83612040133780441</v>
      </c>
      <c r="E539" s="161">
        <f>-B539*Main!$B$18-2*Main!$B$18*loop_gain!$B$17*loop_gain!$B$18</f>
        <v>-176.35344481605364</v>
      </c>
      <c r="F539" s="161">
        <f>2*Main!$B$18*loop_gain!$B$17*loop_gain!$B$18*Helper_calcs!$B$14*Current_limit!B539</f>
        <v>542.34782608696412</v>
      </c>
      <c r="G539" s="161">
        <f t="shared" si="67"/>
        <v>3.121543863394908</v>
      </c>
      <c r="H539" s="161">
        <f>(Main!$B$18-Current_limit!G539)*Current_limit!G539/(Main!$B$18*loop_gain!$B$17*loop_gain!$B$18)</f>
        <v>0.33326707875950562</v>
      </c>
      <c r="I539" s="161">
        <f t="shared" si="68"/>
        <v>3.5667329212405043</v>
      </c>
      <c r="J539" s="161"/>
      <c r="K539" s="163">
        <f>IF(A539&gt;$B$15,IF(I539&gt;Helper_calcs!$B$15,23,3),0)</f>
        <v>23</v>
      </c>
      <c r="L539" s="162">
        <f t="shared" si="66"/>
        <v>2</v>
      </c>
      <c r="M539" s="162">
        <f t="shared" si="69"/>
        <v>2</v>
      </c>
      <c r="N539" s="161">
        <f t="shared" si="70"/>
        <v>3.55</v>
      </c>
      <c r="O539" s="161">
        <f t="shared" si="71"/>
        <v>2.9682274247492053</v>
      </c>
      <c r="P539" s="149">
        <f>IF(OR(M539=0,M539=3),loop_gain!$B$18,IF(Current_limit!M539=1,Current_limit!$B$12/(2*(Current_limit!N539-Helper_calcs!$B$15)),IF(OR(M539=2,M539=23),(Main!$B$18-Current_limit!O539)*Current_limit!O539/(Main!$B$18*loop_gain!$B$17*(Helper_calcs!$B$14-Helper_calcs!$B$15)),x)))</f>
        <v>967112.37561173073</v>
      </c>
      <c r="Q539" s="161"/>
    </row>
    <row r="540" spans="1:17" x14ac:dyDescent="0.25">
      <c r="A540">
        <f t="shared" si="64"/>
        <v>5.9899999999999158</v>
      </c>
      <c r="B540">
        <f>Main!$B$19/A540</f>
        <v>0.83472454090151427</v>
      </c>
      <c r="D540" s="161">
        <f t="shared" si="65"/>
        <v>0.83472454090151427</v>
      </c>
      <c r="E540" s="161">
        <f>-B540*Main!$B$18-2*Main!$B$18*loop_gain!$B$17*loop_gain!$B$18</f>
        <v>-176.33669449081816</v>
      </c>
      <c r="F540" s="161">
        <f>2*Main!$B$18*loop_gain!$B$17*loop_gain!$B$18*Helper_calcs!$B$14*Current_limit!B540</f>
        <v>541.44240400668536</v>
      </c>
      <c r="G540" s="161">
        <f t="shared" si="67"/>
        <v>3.1164790692426134</v>
      </c>
      <c r="H540" s="161">
        <f>(Main!$B$18-Current_limit!G540)*Current_limit!G540/(Main!$B$18*loop_gain!$B$17*loop_gain!$B$18)</f>
        <v>0.33291615009480585</v>
      </c>
      <c r="I540" s="161">
        <f t="shared" si="68"/>
        <v>3.5670838499051953</v>
      </c>
      <c r="J540" s="161"/>
      <c r="K540" s="163">
        <f>IF(A540&gt;$B$15,IF(I540&gt;Helper_calcs!$B$15,23,3),0)</f>
        <v>23</v>
      </c>
      <c r="L540" s="162">
        <f t="shared" si="66"/>
        <v>2</v>
      </c>
      <c r="M540" s="162">
        <f t="shared" si="69"/>
        <v>2</v>
      </c>
      <c r="N540" s="161">
        <f t="shared" si="70"/>
        <v>3.55</v>
      </c>
      <c r="O540" s="161">
        <f t="shared" si="71"/>
        <v>2.9632721202003753</v>
      </c>
      <c r="P540" s="149">
        <f>IF(OR(M540=0,M540=3),loop_gain!$B$18,IF(Current_limit!M540=1,Current_limit!$B$12/(2*(Current_limit!N540-Helper_calcs!$B$15)),IF(OR(M540=2,M540=23),(Main!$B$18-Current_limit!O540)*Current_limit!O540/(Main!$B$18*loop_gain!$B$17*(Helper_calcs!$B$14-Helper_calcs!$B$15)),x)))</f>
        <v>966027.55353707389</v>
      </c>
      <c r="Q540" s="161"/>
    </row>
    <row r="541" spans="1:17" x14ac:dyDescent="0.25">
      <c r="A541">
        <f t="shared" si="64"/>
        <v>5.9999999999999156</v>
      </c>
      <c r="B541">
        <f>Main!$B$19/A541</f>
        <v>0.83333333333334503</v>
      </c>
      <c r="D541" s="161">
        <f t="shared" si="65"/>
        <v>0.83333333333334503</v>
      </c>
      <c r="E541" s="161">
        <f>-B541*Main!$B$18-2*Main!$B$18*loop_gain!$B$17*loop_gain!$B$18</f>
        <v>-176.32000000000014</v>
      </c>
      <c r="F541" s="161">
        <f>2*Main!$B$18*loop_gain!$B$17*loop_gain!$B$18*Helper_calcs!$B$14*Current_limit!B541</f>
        <v>540.54000000000747</v>
      </c>
      <c r="G541" s="161">
        <f t="shared" si="67"/>
        <v>3.1114309326248888</v>
      </c>
      <c r="H541" s="161">
        <f>(Main!$B$18-Current_limit!G541)*Current_limit!G541/(Main!$B$18*loop_gain!$B$17*loop_gain!$B$18)</f>
        <v>0.33256576170038099</v>
      </c>
      <c r="I541" s="161">
        <f t="shared" si="68"/>
        <v>3.5674342382996236</v>
      </c>
      <c r="J541" s="161"/>
      <c r="K541" s="163">
        <f>IF(A541&gt;$B$15,IF(I541&gt;Helper_calcs!$B$15,23,3),0)</f>
        <v>23</v>
      </c>
      <c r="L541" s="162">
        <f t="shared" si="66"/>
        <v>2</v>
      </c>
      <c r="M541" s="162">
        <f t="shared" si="69"/>
        <v>2</v>
      </c>
      <c r="N541" s="161">
        <f t="shared" si="70"/>
        <v>3.55</v>
      </c>
      <c r="O541" s="161">
        <f t="shared" si="71"/>
        <v>2.9583333333333748</v>
      </c>
      <c r="P541" s="149">
        <f>IF(OR(M541=0,M541=3),loop_gain!$B$18,IF(Current_limit!M541=1,Current_limit!$B$12/(2*(Current_limit!N541-Helper_calcs!$B$15)),IF(OR(M541=2,M541=23),(Main!$B$18-Current_limit!O541)*Current_limit!O541/(Main!$B$18*loop_gain!$B$17*(Helper_calcs!$B$14-Helper_calcs!$B$15)),x)))</f>
        <v>964944.58473626093</v>
      </c>
      <c r="Q541" s="161"/>
    </row>
    <row r="542" spans="1:17" x14ac:dyDescent="0.25">
      <c r="A542">
        <f t="shared" si="64"/>
        <v>6.0099999999999154</v>
      </c>
      <c r="B542">
        <f>Main!$B$19/A542</f>
        <v>0.83194675540766561</v>
      </c>
      <c r="D542" s="161">
        <f t="shared" si="65"/>
        <v>0.83194675540766561</v>
      </c>
      <c r="E542" s="161">
        <f>-B542*Main!$B$18-2*Main!$B$18*loop_gain!$B$17*loop_gain!$B$18</f>
        <v>-176.30336106489199</v>
      </c>
      <c r="F542" s="161">
        <f>2*Main!$B$18*loop_gain!$B$17*loop_gain!$B$18*Helper_calcs!$B$14*Current_limit!B542</f>
        <v>539.64059900167138</v>
      </c>
      <c r="G542" s="161">
        <f t="shared" si="67"/>
        <v>3.1063993702791799</v>
      </c>
      <c r="H542" s="161">
        <f>(Main!$B$18-Current_limit!G542)*Current_limit!G542/(Main!$B$18*loop_gain!$B$17*loop_gain!$B$18)</f>
        <v>0.33221591384895716</v>
      </c>
      <c r="I542" s="161">
        <f t="shared" si="68"/>
        <v>3.5677840861510433</v>
      </c>
      <c r="J542" s="161"/>
      <c r="K542" s="163">
        <f>IF(A542&gt;$B$15,IF(I542&gt;Helper_calcs!$B$15,23,3),0)</f>
        <v>23</v>
      </c>
      <c r="L542" s="162">
        <f t="shared" si="66"/>
        <v>2</v>
      </c>
      <c r="M542" s="162">
        <f t="shared" si="69"/>
        <v>2</v>
      </c>
      <c r="N542" s="161">
        <f t="shared" si="70"/>
        <v>3.55</v>
      </c>
      <c r="O542" s="161">
        <f t="shared" si="71"/>
        <v>2.9534109816972127</v>
      </c>
      <c r="P542" s="149">
        <f>IF(OR(M542=0,M542=3),loop_gain!$B$18,IF(Current_limit!M542=1,Current_limit!$B$12/(2*(Current_limit!N542-Helper_calcs!$B$15)),IF(OR(M542=2,M542=23),(Main!$B$18-Current_limit!O542)*Current_limit!O542/(Main!$B$18*loop_gain!$B$17*(Helper_calcs!$B$14-Helper_calcs!$B$15)),x)))</f>
        <v>963863.46874303289</v>
      </c>
      <c r="Q542" s="161"/>
    </row>
    <row r="543" spans="1:17" x14ac:dyDescent="0.25">
      <c r="A543">
        <f t="shared" si="64"/>
        <v>6.0199999999999152</v>
      </c>
      <c r="B543">
        <f>Main!$B$19/A543</f>
        <v>0.8305647840531678</v>
      </c>
      <c r="D543" s="161">
        <f t="shared" si="65"/>
        <v>0.8305647840531678</v>
      </c>
      <c r="E543" s="161">
        <f>-B543*Main!$B$18-2*Main!$B$18*loop_gain!$B$17*loop_gain!$B$18</f>
        <v>-176.28677740863802</v>
      </c>
      <c r="F543" s="161">
        <f>2*Main!$B$18*loop_gain!$B$17*loop_gain!$B$18*Helper_calcs!$B$14*Current_limit!B543</f>
        <v>538.74418604651908</v>
      </c>
      <c r="G543" s="161">
        <f t="shared" si="67"/>
        <v>3.1013842995049292</v>
      </c>
      <c r="H543" s="161">
        <f>(Main!$B$18-Current_limit!G543)*Current_limit!G543/(Main!$B$18*loop_gain!$B$17*loop_gain!$B$18)</f>
        <v>0.33186660679224955</v>
      </c>
      <c r="I543" s="161">
        <f t="shared" si="68"/>
        <v>3.5681333932077575</v>
      </c>
      <c r="J543" s="161"/>
      <c r="K543" s="163">
        <f>IF(A543&gt;$B$15,IF(I543&gt;Helper_calcs!$B$15,23,3),0)</f>
        <v>23</v>
      </c>
      <c r="L543" s="162">
        <f t="shared" si="66"/>
        <v>2</v>
      </c>
      <c r="M543" s="162">
        <f t="shared" si="69"/>
        <v>2</v>
      </c>
      <c r="N543" s="161">
        <f t="shared" si="70"/>
        <v>3.55</v>
      </c>
      <c r="O543" s="161">
        <f t="shared" si="71"/>
        <v>2.9485049833887453</v>
      </c>
      <c r="P543" s="149">
        <f>IF(OR(M543=0,M543=3),loop_gain!$B$18,IF(Current_limit!M543=1,Current_limit!$B$12/(2*(Current_limit!N543-Helper_calcs!$B$15)),IF(OR(M543=2,M543=23),(Main!$B$18-Current_limit!O543)*Current_limit!O543/(Main!$B$18*loop_gain!$B$17*(Helper_calcs!$B$14-Helper_calcs!$B$15)),x)))</f>
        <v>962784.20503595576</v>
      </c>
      <c r="Q543" s="161"/>
    </row>
    <row r="544" spans="1:17" x14ac:dyDescent="0.25">
      <c r="A544">
        <f t="shared" si="64"/>
        <v>6.029999999999915</v>
      </c>
      <c r="B544">
        <f>Main!$B$19/A544</f>
        <v>0.82918739635158711</v>
      </c>
      <c r="D544" s="161">
        <f t="shared" si="65"/>
        <v>0.82918739635158711</v>
      </c>
      <c r="E544" s="161">
        <f>-B544*Main!$B$18-2*Main!$B$18*loop_gain!$B$17*loop_gain!$B$18</f>
        <v>-176.27024875621905</v>
      </c>
      <c r="F544" s="161">
        <f>2*Main!$B$18*loop_gain!$B$17*loop_gain!$B$18*Helper_calcs!$B$14*Current_limit!B544</f>
        <v>537.85074626866424</v>
      </c>
      <c r="G544" s="161">
        <f t="shared" si="67"/>
        <v>3.096385638158714</v>
      </c>
      <c r="H544" s="161">
        <f>(Main!$B$18-Current_limit!G544)*Current_limit!G544/(Main!$B$18*loop_gain!$B$17*loop_gain!$B$18)</f>
        <v>0.33151784076129176</v>
      </c>
      <c r="I544" s="161">
        <f t="shared" si="68"/>
        <v>3.568482159238711</v>
      </c>
      <c r="J544" s="161"/>
      <c r="K544" s="163">
        <f>IF(A544&gt;$B$15,IF(I544&gt;Helper_calcs!$B$15,23,3),0)</f>
        <v>23</v>
      </c>
      <c r="L544" s="162">
        <f t="shared" si="66"/>
        <v>2</v>
      </c>
      <c r="M544" s="162">
        <f t="shared" si="69"/>
        <v>2</v>
      </c>
      <c r="N544" s="161">
        <f t="shared" si="70"/>
        <v>3.55</v>
      </c>
      <c r="O544" s="161">
        <f t="shared" si="71"/>
        <v>2.9436152570481342</v>
      </c>
      <c r="P544" s="149">
        <f>IF(OR(M544=0,M544=3),loop_gain!$B$18,IF(Current_limit!M544=1,Current_limit!$B$12/(2*(Current_limit!N544-Helper_calcs!$B$15)),IF(OR(M544=2,M544=23),(Main!$B$18-Current_limit!O544)*Current_limit!O544/(Main!$B$18*loop_gain!$B$17*(Helper_calcs!$B$14-Helper_calcs!$B$15)),x)))</f>
        <v>961706.79303936043</v>
      </c>
      <c r="Q544" s="161"/>
    </row>
    <row r="545" spans="1:17" x14ac:dyDescent="0.25">
      <c r="A545">
        <f t="shared" ref="A545:A608" si="72">A544+0.01</f>
        <v>6.0399999999999148</v>
      </c>
      <c r="B545">
        <f>Main!$B$19/A545</f>
        <v>0.82781456953643551</v>
      </c>
      <c r="D545" s="161">
        <f t="shared" si="65"/>
        <v>0.82781456953643551</v>
      </c>
      <c r="E545" s="161">
        <f>-B545*Main!$B$18-2*Main!$B$18*loop_gain!$B$17*loop_gain!$B$18</f>
        <v>-176.25377483443722</v>
      </c>
      <c r="F545" s="161">
        <f>2*Main!$B$18*loop_gain!$B$17*loop_gain!$B$18*Helper_calcs!$B$14*Current_limit!B545</f>
        <v>536.9602649006697</v>
      </c>
      <c r="G545" s="161">
        <f t="shared" si="67"/>
        <v>3.0914033046495524</v>
      </c>
      <c r="H545" s="161">
        <f>(Main!$B$18-Current_limit!G545)*Current_limit!G545/(Main!$B$18*loop_gain!$B$17*loop_gain!$B$18)</f>
        <v>0.3311696159667683</v>
      </c>
      <c r="I545" s="161">
        <f t="shared" si="68"/>
        <v>3.5688303840332223</v>
      </c>
      <c r="J545" s="161"/>
      <c r="K545" s="163">
        <f>IF(A545&gt;$B$15,IF(I545&gt;Helper_calcs!$B$15,23,3),0)</f>
        <v>23</v>
      </c>
      <c r="L545" s="162">
        <f t="shared" si="66"/>
        <v>2</v>
      </c>
      <c r="M545" s="162">
        <f t="shared" si="69"/>
        <v>2</v>
      </c>
      <c r="N545" s="161">
        <f t="shared" si="70"/>
        <v>3.55</v>
      </c>
      <c r="O545" s="161">
        <f t="shared" si="71"/>
        <v>2.9387417218543459</v>
      </c>
      <c r="P545" s="149">
        <f>IF(OR(M545=0,M545=3),loop_gain!$B$18,IF(Current_limit!M545=1,Current_limit!$B$12/(2*(Current_limit!N545-Helper_calcs!$B$15)),IF(OR(M545=2,M545=23),(Main!$B$18-Current_limit!O545)*Current_limit!O545/(Main!$B$18*loop_gain!$B$17*(Helper_calcs!$B$14-Helper_calcs!$B$15)),x)))</f>
        <v>960631.23212426819</v>
      </c>
      <c r="Q545" s="161"/>
    </row>
    <row r="546" spans="1:17" x14ac:dyDescent="0.25">
      <c r="A546">
        <f t="shared" si="72"/>
        <v>6.0499999999999146</v>
      </c>
      <c r="B546">
        <f>Main!$B$19/A546</f>
        <v>0.82644628099174722</v>
      </c>
      <c r="D546" s="161">
        <f t="shared" si="65"/>
        <v>0.82644628099174722</v>
      </c>
      <c r="E546" s="161">
        <f>-B546*Main!$B$18-2*Main!$B$18*loop_gain!$B$17*loop_gain!$B$18</f>
        <v>-176.23735537190095</v>
      </c>
      <c r="F546" s="161">
        <f>2*Main!$B$18*loop_gain!$B$17*loop_gain!$B$18*Helper_calcs!$B$14*Current_limit!B546</f>
        <v>536.07272727273482</v>
      </c>
      <c r="G546" s="161">
        <f t="shared" si="67"/>
        <v>3.086437217934205</v>
      </c>
      <c r="H546" s="161">
        <f>(Main!$B$18-Current_limit!G546)*Current_limit!G546/(Main!$B$18*loop_gain!$B$17*loop_gain!$B$18)</f>
        <v>0.33082193259933895</v>
      </c>
      <c r="I546" s="161">
        <f t="shared" si="68"/>
        <v>3.5691780674006655</v>
      </c>
      <c r="J546" s="161"/>
      <c r="K546" s="163">
        <f>IF(A546&gt;$B$15,IF(I546&gt;Helper_calcs!$B$15,23,3),0)</f>
        <v>23</v>
      </c>
      <c r="L546" s="162">
        <f t="shared" si="66"/>
        <v>2</v>
      </c>
      <c r="M546" s="162">
        <f t="shared" si="69"/>
        <v>2</v>
      </c>
      <c r="N546" s="161">
        <f t="shared" si="70"/>
        <v>3.55</v>
      </c>
      <c r="O546" s="161">
        <f t="shared" si="71"/>
        <v>2.9338842975207027</v>
      </c>
      <c r="P546" s="149">
        <f>IF(OR(M546=0,M546=3),loop_gain!$B$18,IF(Current_limit!M546=1,Current_limit!$B$12/(2*(Current_limit!N546-Helper_calcs!$B$15)),IF(OR(M546=2,M546=23),(Main!$B$18-Current_limit!O546)*Current_limit!O546/(Main!$B$18*loop_gain!$B$17*(Helper_calcs!$B$14-Helper_calcs!$B$15)),x)))</f>
        <v>959557.52160930366</v>
      </c>
      <c r="Q546" s="161"/>
    </row>
    <row r="547" spans="1:17" x14ac:dyDescent="0.25">
      <c r="A547">
        <f t="shared" si="72"/>
        <v>6.0599999999999143</v>
      </c>
      <c r="B547">
        <f>Main!$B$19/A547</f>
        <v>0.82508250825083673</v>
      </c>
      <c r="D547" s="161">
        <f t="shared" si="65"/>
        <v>0.82508250825083673</v>
      </c>
      <c r="E547" s="161">
        <f>-B547*Main!$B$18-2*Main!$B$18*loop_gain!$B$17*loop_gain!$B$18</f>
        <v>-176.22099009901004</v>
      </c>
      <c r="F547" s="161">
        <f>2*Main!$B$18*loop_gain!$B$17*loop_gain!$B$18*Helper_calcs!$B$14*Current_limit!B547</f>
        <v>535.18811881188867</v>
      </c>
      <c r="G547" s="161">
        <f t="shared" si="67"/>
        <v>3.0814872975124463</v>
      </c>
      <c r="H547" s="161">
        <f>(Main!$B$18-Current_limit!G547)*Current_limit!G547/(Main!$B$18*loop_gain!$B$17*loop_gain!$B$18)</f>
        <v>0.33047479082995185</v>
      </c>
      <c r="I547" s="161">
        <f t="shared" si="68"/>
        <v>3.5695252091700564</v>
      </c>
      <c r="J547" s="161"/>
      <c r="K547" s="163">
        <f>IF(A547&gt;$B$15,IF(I547&gt;Helper_calcs!$B$15,23,3),0)</f>
        <v>23</v>
      </c>
      <c r="L547" s="162">
        <f t="shared" si="66"/>
        <v>2</v>
      </c>
      <c r="M547" s="162">
        <f t="shared" si="69"/>
        <v>2</v>
      </c>
      <c r="N547" s="161">
        <f t="shared" si="70"/>
        <v>3.55</v>
      </c>
      <c r="O547" s="161">
        <f t="shared" si="71"/>
        <v>2.9290429042904704</v>
      </c>
      <c r="P547" s="149">
        <f>IF(OR(M547=0,M547=3),loop_gain!$B$18,IF(Current_limit!M547=1,Current_limit!$B$12/(2*(Current_limit!N547-Helper_calcs!$B$15)),IF(OR(M547=2,M547=23),(Main!$B$18-Current_limit!O547)*Current_limit!O547/(Main!$B$18*loop_gain!$B$17*(Helper_calcs!$B$14-Helper_calcs!$B$15)),x)))</f>
        <v>958485.66076159093</v>
      </c>
      <c r="Q547" s="161"/>
    </row>
    <row r="548" spans="1:17" x14ac:dyDescent="0.25">
      <c r="A548">
        <f t="shared" si="72"/>
        <v>6.0699999999999141</v>
      </c>
      <c r="B548">
        <f>Main!$B$19/A548</f>
        <v>0.82372322899506933</v>
      </c>
      <c r="D548" s="161">
        <f t="shared" si="65"/>
        <v>0.82372322899506933</v>
      </c>
      <c r="E548" s="161">
        <f>-B548*Main!$B$18-2*Main!$B$18*loop_gain!$B$17*loop_gain!$B$18</f>
        <v>-176.20467874794082</v>
      </c>
      <c r="F548" s="161">
        <f>2*Main!$B$18*loop_gain!$B$17*loop_gain!$B$18*Helper_calcs!$B$14*Current_limit!B548</f>
        <v>534.30642504119362</v>
      </c>
      <c r="G548" s="161">
        <f t="shared" si="67"/>
        <v>3.0765534634225471</v>
      </c>
      <c r="H548" s="161">
        <f>(Main!$B$18-Current_limit!G548)*Current_limit!G548/(Main!$B$18*loop_gain!$B$17*loop_gain!$B$18)</f>
        <v>0.3301281908101647</v>
      </c>
      <c r="I548" s="161">
        <f t="shared" si="68"/>
        <v>3.5698718091898369</v>
      </c>
      <c r="J548" s="161"/>
      <c r="K548" s="163">
        <f>IF(A548&gt;$B$15,IF(I548&gt;Helper_calcs!$B$15,23,3),0)</f>
        <v>23</v>
      </c>
      <c r="L548" s="162">
        <f t="shared" si="66"/>
        <v>2</v>
      </c>
      <c r="M548" s="162">
        <f t="shared" si="69"/>
        <v>2</v>
      </c>
      <c r="N548" s="161">
        <f t="shared" si="70"/>
        <v>3.55</v>
      </c>
      <c r="O548" s="161">
        <f t="shared" si="71"/>
        <v>2.924217462932496</v>
      </c>
      <c r="P548" s="149">
        <f>IF(OR(M548=0,M548=3),loop_gain!$B$18,IF(Current_limit!M548=1,Current_limit!$B$12/(2*(Current_limit!N548-Helper_calcs!$B$15)),IF(OR(M548=2,M548=23),(Main!$B$18-Current_limit!O548)*Current_limit!O548/(Main!$B$18*loop_gain!$B$17*(Helper_calcs!$B$14-Helper_calcs!$B$15)),x)))</f>
        <v>957415.64879764058</v>
      </c>
      <c r="Q548" s="161"/>
    </row>
    <row r="549" spans="1:17" x14ac:dyDescent="0.25">
      <c r="A549">
        <f t="shared" si="72"/>
        <v>6.0799999999999139</v>
      </c>
      <c r="B549">
        <f>Main!$B$19/A549</f>
        <v>0.82236842105264318</v>
      </c>
      <c r="D549" s="161">
        <f t="shared" si="65"/>
        <v>0.82236842105264318</v>
      </c>
      <c r="E549" s="161">
        <f>-B549*Main!$B$18-2*Main!$B$18*loop_gain!$B$17*loop_gain!$B$18</f>
        <v>-176.18842105263172</v>
      </c>
      <c r="F549" s="161">
        <f>2*Main!$B$18*loop_gain!$B$17*loop_gain!$B$18*Helper_calcs!$B$14*Current_limit!B549</f>
        <v>533.42763157895479</v>
      </c>
      <c r="G549" s="161">
        <f t="shared" si="67"/>
        <v>3.0716356362366972</v>
      </c>
      <c r="H549" s="161">
        <f>(Main!$B$18-Current_limit!G549)*Current_limit!G549/(Main!$B$18*loop_gain!$B$17*loop_gain!$B$18)</f>
        <v>0.32978213267245249</v>
      </c>
      <c r="I549" s="161">
        <f t="shared" si="68"/>
        <v>3.5702178673275449</v>
      </c>
      <c r="J549" s="161"/>
      <c r="K549" s="163">
        <f>IF(A549&gt;$B$15,IF(I549&gt;Helper_calcs!$B$15,23,3),0)</f>
        <v>23</v>
      </c>
      <c r="L549" s="162">
        <f t="shared" si="66"/>
        <v>2</v>
      </c>
      <c r="M549" s="162">
        <f t="shared" si="69"/>
        <v>2</v>
      </c>
      <c r="N549" s="161">
        <f t="shared" si="70"/>
        <v>3.55</v>
      </c>
      <c r="O549" s="161">
        <f t="shared" si="71"/>
        <v>2.9194078947368833</v>
      </c>
      <c r="P549" s="149">
        <f>IF(OR(M549=0,M549=3),loop_gain!$B$18,IF(Current_limit!M549=1,Current_limit!$B$12/(2*(Current_limit!N549-Helper_calcs!$B$15)),IF(OR(M549=2,M549=23),(Main!$B$18-Current_limit!O549)*Current_limit!O549/(Main!$B$18*loop_gain!$B$17*(Helper_calcs!$B$14-Helper_calcs!$B$15)),x)))</f>
        <v>956347.48488421959</v>
      </c>
      <c r="Q549" s="161"/>
    </row>
    <row r="550" spans="1:17" x14ac:dyDescent="0.25">
      <c r="A550">
        <f t="shared" si="72"/>
        <v>6.0899999999999137</v>
      </c>
      <c r="B550">
        <f>Main!$B$19/A550</f>
        <v>0.8210180623973844</v>
      </c>
      <c r="D550" s="161">
        <f t="shared" si="65"/>
        <v>0.8210180623973844</v>
      </c>
      <c r="E550" s="161">
        <f>-B550*Main!$B$18-2*Main!$B$18*loop_gain!$B$17*loop_gain!$B$18</f>
        <v>-176.17221674876862</v>
      </c>
      <c r="F550" s="161">
        <f>2*Main!$B$18*loop_gain!$B$17*loop_gain!$B$18*Helper_calcs!$B$14*Current_limit!B550</f>
        <v>532.55172413793855</v>
      </c>
      <c r="G550" s="161">
        <f t="shared" si="67"/>
        <v>3.0667337370564751</v>
      </c>
      <c r="H550" s="161">
        <f>(Main!$B$18-Current_limit!G550)*Current_limit!G550/(Main!$B$18*loop_gain!$B$17*loop_gain!$B$18)</f>
        <v>0.32943661653051137</v>
      </c>
      <c r="I550" s="161">
        <f t="shared" si="68"/>
        <v>3.5705633834694779</v>
      </c>
      <c r="J550" s="161"/>
      <c r="K550" s="163">
        <f>IF(A550&gt;$B$15,IF(I550&gt;Helper_calcs!$B$15,23,3),0)</f>
        <v>23</v>
      </c>
      <c r="L550" s="162">
        <f t="shared" si="66"/>
        <v>2</v>
      </c>
      <c r="M550" s="162">
        <f t="shared" si="69"/>
        <v>2</v>
      </c>
      <c r="N550" s="161">
        <f t="shared" si="70"/>
        <v>3.55</v>
      </c>
      <c r="O550" s="161">
        <f t="shared" si="71"/>
        <v>2.9146141215107146</v>
      </c>
      <c r="P550" s="149">
        <f>IF(OR(M550=0,M550=3),loop_gain!$B$18,IF(Current_limit!M550=1,Current_limit!$B$12/(2*(Current_limit!N550-Helper_calcs!$B$15)),IF(OR(M550=2,M550=23),(Main!$B$18-Current_limit!O550)*Current_limit!O550/(Main!$B$18*loop_gain!$B$17*(Helper_calcs!$B$14-Helper_calcs!$B$15)),x)))</f>
        <v>955281.16813921032</v>
      </c>
      <c r="Q550" s="161"/>
    </row>
    <row r="551" spans="1:17" x14ac:dyDescent="0.25">
      <c r="A551">
        <f t="shared" si="72"/>
        <v>6.0999999999999135</v>
      </c>
      <c r="B551">
        <f>Main!$B$19/A551</f>
        <v>0.81967213114755266</v>
      </c>
      <c r="D551" s="161">
        <f t="shared" si="65"/>
        <v>0.81967213114755266</v>
      </c>
      <c r="E551" s="161">
        <f>-B551*Main!$B$18-2*Main!$B$18*loop_gain!$B$17*loop_gain!$B$18</f>
        <v>-176.15606557377063</v>
      </c>
      <c r="F551" s="161">
        <f>2*Main!$B$18*loop_gain!$B$17*loop_gain!$B$18*Helper_calcs!$B$14*Current_limit!B551</f>
        <v>531.67868852459765</v>
      </c>
      <c r="G551" s="161">
        <f t="shared" si="67"/>
        <v>3.0618476875084233</v>
      </c>
      <c r="H551" s="161">
        <f>(Main!$B$18-Current_limit!G551)*Current_limit!G551/(Main!$B$18*loop_gain!$B$17*loop_gain!$B$18)</f>
        <v>0.3290916424795623</v>
      </c>
      <c r="I551" s="161">
        <f t="shared" si="68"/>
        <v>3.5709083575204423</v>
      </c>
      <c r="J551" s="161"/>
      <c r="K551" s="163">
        <f>IF(A551&gt;$B$15,IF(I551&gt;Helper_calcs!$B$15,23,3),0)</f>
        <v>23</v>
      </c>
      <c r="L551" s="162">
        <f t="shared" si="66"/>
        <v>2</v>
      </c>
      <c r="M551" s="162">
        <f t="shared" si="69"/>
        <v>2</v>
      </c>
      <c r="N551" s="161">
        <f t="shared" si="70"/>
        <v>3.55</v>
      </c>
      <c r="O551" s="161">
        <f t="shared" si="71"/>
        <v>2.909836065573812</v>
      </c>
      <c r="P551" s="149">
        <f>IF(OR(M551=0,M551=3),loop_gain!$B$18,IF(Current_limit!M551=1,Current_limit!$B$12/(2*(Current_limit!N551-Helper_calcs!$B$15)),IF(OR(M551=2,M551=23),(Main!$B$18-Current_limit!O551)*Current_limit!O551/(Main!$B$18*loop_gain!$B$17*(Helper_calcs!$B$14-Helper_calcs!$B$15)),x)))</f>
        <v>954216.69763245585</v>
      </c>
      <c r="Q551" s="161"/>
    </row>
    <row r="552" spans="1:17" x14ac:dyDescent="0.25">
      <c r="A552">
        <f t="shared" si="72"/>
        <v>6.1099999999999133</v>
      </c>
      <c r="B552">
        <f>Main!$B$19/A552</f>
        <v>0.81833060556465975</v>
      </c>
      <c r="D552" s="161">
        <f t="shared" si="65"/>
        <v>0.81833060556465975</v>
      </c>
      <c r="E552" s="161">
        <f>-B552*Main!$B$18-2*Main!$B$18*loop_gain!$B$17*loop_gain!$B$18</f>
        <v>-176.1399672667759</v>
      </c>
      <c r="F552" s="161">
        <f>2*Main!$B$18*loop_gain!$B$17*loop_gain!$B$18*Helper_calcs!$B$14*Current_limit!B552</f>
        <v>530.80851063830539</v>
      </c>
      <c r="G552" s="161">
        <f t="shared" si="67"/>
        <v>3.056977409739551</v>
      </c>
      <c r="H552" s="161">
        <f>(Main!$B$18-Current_limit!G552)*Current_limit!G552/(Main!$B$18*loop_gain!$B$17*loop_gain!$B$18)</f>
        <v>0.32874721059664119</v>
      </c>
      <c r="I552" s="161">
        <f t="shared" si="68"/>
        <v>3.5712527894033577</v>
      </c>
      <c r="J552" s="161"/>
      <c r="K552" s="163">
        <f>IF(A552&gt;$B$15,IF(I552&gt;Helper_calcs!$B$15,23,3),0)</f>
        <v>23</v>
      </c>
      <c r="L552" s="162">
        <f t="shared" si="66"/>
        <v>2</v>
      </c>
      <c r="M552" s="162">
        <f t="shared" si="69"/>
        <v>2</v>
      </c>
      <c r="N552" s="161">
        <f t="shared" si="70"/>
        <v>3.55</v>
      </c>
      <c r="O552" s="161">
        <f t="shared" si="71"/>
        <v>2.905073649754542</v>
      </c>
      <c r="P552" s="149">
        <f>IF(OR(M552=0,M552=3),loop_gain!$B$18,IF(Current_limit!M552=1,Current_limit!$B$12/(2*(Current_limit!N552-Helper_calcs!$B$15)),IF(OR(M552=2,M552=23),(Main!$B$18-Current_limit!O552)*Current_limit!O552/(Main!$B$18*loop_gain!$B$17*(Helper_calcs!$B$14-Helper_calcs!$B$15)),x)))</f>
        <v>953154.07238659239</v>
      </c>
      <c r="Q552" s="161"/>
    </row>
    <row r="553" spans="1:17" x14ac:dyDescent="0.25">
      <c r="A553">
        <f t="shared" si="72"/>
        <v>6.1199999999999131</v>
      </c>
      <c r="B553">
        <f>Main!$B$19/A553</f>
        <v>0.81699346405229922</v>
      </c>
      <c r="D553" s="161">
        <f t="shared" si="65"/>
        <v>0.81699346405229922</v>
      </c>
      <c r="E553" s="161">
        <f>-B553*Main!$B$18-2*Main!$B$18*loop_gain!$B$17*loop_gain!$B$18</f>
        <v>-176.12392156862759</v>
      </c>
      <c r="F553" s="161">
        <f>2*Main!$B$18*loop_gain!$B$17*loop_gain!$B$18*Helper_calcs!$B$14*Current_limit!B553</f>
        <v>529.94117647059568</v>
      </c>
      <c r="G553" s="161">
        <f t="shared" si="67"/>
        <v>3.0521228264130738</v>
      </c>
      <c r="H553" s="161">
        <f>(Main!$B$18-Current_limit!G553)*Current_limit!G553/(Main!$B$18*loop_gain!$B$17*loop_gain!$B$18)</f>
        <v>0.32840332094089897</v>
      </c>
      <c r="I553" s="161">
        <f t="shared" si="68"/>
        <v>3.5715966790590992</v>
      </c>
      <c r="J553" s="161"/>
      <c r="K553" s="163">
        <f>IF(A553&gt;$B$15,IF(I553&gt;Helper_calcs!$B$15,23,3),0)</f>
        <v>23</v>
      </c>
      <c r="L553" s="162">
        <f t="shared" si="66"/>
        <v>2</v>
      </c>
      <c r="M553" s="162">
        <f t="shared" si="69"/>
        <v>2</v>
      </c>
      <c r="N553" s="161">
        <f t="shared" si="70"/>
        <v>3.55</v>
      </c>
      <c r="O553" s="161">
        <f t="shared" si="71"/>
        <v>2.9003267973856621</v>
      </c>
      <c r="P553" s="149">
        <f>IF(OR(M553=0,M553=3),loop_gain!$B$18,IF(Current_limit!M553=1,Current_limit!$B$12/(2*(Current_limit!N553-Helper_calcs!$B$15)),IF(OR(M553=2,M553=23),(Main!$B$18-Current_limit!O553)*Current_limit!O553/(Main!$B$18*loop_gain!$B$17*(Helper_calcs!$B$14-Helper_calcs!$B$15)),x)))</f>
        <v>952093.29137787095</v>
      </c>
      <c r="Q553" s="161"/>
    </row>
    <row r="554" spans="1:17" x14ac:dyDescent="0.25">
      <c r="A554">
        <f t="shared" si="72"/>
        <v>6.1299999999999129</v>
      </c>
      <c r="B554">
        <f>Main!$B$19/A554</f>
        <v>0.81566068515498713</v>
      </c>
      <c r="D554" s="161">
        <f t="shared" si="65"/>
        <v>0.81566068515498713</v>
      </c>
      <c r="E554" s="161">
        <f>-B554*Main!$B$18-2*Main!$B$18*loop_gain!$B$17*loop_gain!$B$18</f>
        <v>-176.10792822185985</v>
      </c>
      <c r="F554" s="161">
        <f>2*Main!$B$18*loop_gain!$B$17*loop_gain!$B$18*Helper_calcs!$B$14*Current_limit!B554</f>
        <v>529.07667210441207</v>
      </c>
      <c r="G554" s="161">
        <f t="shared" si="67"/>
        <v>3.0472838607040038</v>
      </c>
      <c r="H554" s="161">
        <f>(Main!$B$18-Current_limit!G554)*Current_limit!G554/(Main!$B$18*loop_gain!$B$17*loop_gain!$B$18)</f>
        <v>0.32805997355388344</v>
      </c>
      <c r="I554" s="161">
        <f t="shared" si="68"/>
        <v>3.5719400264461139</v>
      </c>
      <c r="J554" s="161"/>
      <c r="K554" s="163">
        <f>IF(A554&gt;$B$15,IF(I554&gt;Helper_calcs!$B$15,23,3),0)</f>
        <v>23</v>
      </c>
      <c r="L554" s="162">
        <f t="shared" si="66"/>
        <v>2</v>
      </c>
      <c r="M554" s="162">
        <f t="shared" si="69"/>
        <v>2</v>
      </c>
      <c r="N554" s="161">
        <f t="shared" si="70"/>
        <v>3.55</v>
      </c>
      <c r="O554" s="161">
        <f t="shared" si="71"/>
        <v>2.8955954323002042</v>
      </c>
      <c r="P554" s="149">
        <f>IF(OR(M554=0,M554=3),loop_gain!$B$18,IF(Current_limit!M554=1,Current_limit!$B$12/(2*(Current_limit!N554-Helper_calcs!$B$15)),IF(OR(M554=2,M554=23),(Main!$B$18-Current_limit!O554)*Current_limit!O554/(Main!$B$18*loop_gain!$B$17*(Helper_calcs!$B$14-Helper_calcs!$B$15)),x)))</f>
        <v>951034.35353696439</v>
      </c>
      <c r="Q554" s="161"/>
    </row>
    <row r="555" spans="1:17" x14ac:dyDescent="0.25">
      <c r="A555">
        <f t="shared" si="72"/>
        <v>6.1399999999999126</v>
      </c>
      <c r="B555">
        <f>Main!$B$19/A555</f>
        <v>0.81433224755701483</v>
      </c>
      <c r="D555" s="161">
        <f t="shared" si="65"/>
        <v>0.81433224755701483</v>
      </c>
      <c r="E555" s="161">
        <f>-B555*Main!$B$18-2*Main!$B$18*loop_gain!$B$17*loop_gain!$B$18</f>
        <v>-176.09198697068416</v>
      </c>
      <c r="F555" s="161">
        <f>2*Main!$B$18*loop_gain!$B$17*loop_gain!$B$18*Helper_calcs!$B$14*Current_limit!B555</f>
        <v>528.21498371336247</v>
      </c>
      <c r="G555" s="161">
        <f t="shared" si="67"/>
        <v>3.042460436294907</v>
      </c>
      <c r="H555" s="161">
        <f>(Main!$B$18-Current_limit!G555)*Current_limit!G555/(Main!$B$18*loop_gain!$B$17*loop_gain!$B$18)</f>
        <v>0.32771716845982557</v>
      </c>
      <c r="I555" s="161">
        <f t="shared" si="68"/>
        <v>3.5722828315401798</v>
      </c>
      <c r="J555" s="161"/>
      <c r="K555" s="163">
        <f>IF(A555&gt;$B$15,IF(I555&gt;Helper_calcs!$B$15,23,3),0)</f>
        <v>23</v>
      </c>
      <c r="L555" s="162">
        <f t="shared" si="66"/>
        <v>2</v>
      </c>
      <c r="M555" s="162">
        <f t="shared" si="69"/>
        <v>2</v>
      </c>
      <c r="N555" s="161">
        <f t="shared" si="70"/>
        <v>3.55</v>
      </c>
      <c r="O555" s="161">
        <f t="shared" si="71"/>
        <v>2.8908794788274026</v>
      </c>
      <c r="P555" s="149">
        <f>IF(OR(M555=0,M555=3),loop_gain!$B$18,IF(Current_limit!M555=1,Current_limit!$B$12/(2*(Current_limit!N555-Helper_calcs!$B$15)),IF(OR(M555=2,M555=23),(Main!$B$18-Current_limit!O555)*Current_limit!O555/(Main!$B$18*loop_gain!$B$17*(Helper_calcs!$B$14-Helper_calcs!$B$15)),x)))</f>
        <v>949977.25774976367</v>
      </c>
      <c r="Q555" s="161"/>
    </row>
    <row r="556" spans="1:17" x14ac:dyDescent="0.25">
      <c r="A556">
        <f t="shared" si="72"/>
        <v>6.1499999999999124</v>
      </c>
      <c r="B556">
        <f>Main!$B$19/A556</f>
        <v>0.81300813008131234</v>
      </c>
      <c r="D556" s="161">
        <f t="shared" si="65"/>
        <v>0.81300813008131234</v>
      </c>
      <c r="E556" s="161">
        <f>-B556*Main!$B$18-2*Main!$B$18*loop_gain!$B$17*loop_gain!$B$18</f>
        <v>-176.07609756097574</v>
      </c>
      <c r="F556" s="161">
        <f>2*Main!$B$18*loop_gain!$B$17*loop_gain!$B$18*Helper_calcs!$B$14*Current_limit!B556</f>
        <v>527.35609756098302</v>
      </c>
      <c r="G556" s="161">
        <f t="shared" si="67"/>
        <v>3.037652477371628</v>
      </c>
      <c r="H556" s="161">
        <f>(Main!$B$18-Current_limit!G556)*Current_limit!G556/(Main!$B$18*loop_gain!$B$17*loop_gain!$B$18)</f>
        <v>0.32737490566591571</v>
      </c>
      <c r="I556" s="161">
        <f t="shared" si="68"/>
        <v>3.5726250943340916</v>
      </c>
      <c r="J556" s="161"/>
      <c r="K556" s="163">
        <f>IF(A556&gt;$B$15,IF(I556&gt;Helper_calcs!$B$15,23,3),0)</f>
        <v>23</v>
      </c>
      <c r="L556" s="162">
        <f t="shared" si="66"/>
        <v>2</v>
      </c>
      <c r="M556" s="162">
        <f t="shared" si="69"/>
        <v>2</v>
      </c>
      <c r="N556" s="161">
        <f t="shared" si="70"/>
        <v>3.55</v>
      </c>
      <c r="O556" s="161">
        <f t="shared" si="71"/>
        <v>2.8861788617886588</v>
      </c>
      <c r="P556" s="149">
        <f>IF(OR(M556=0,M556=3),loop_gain!$B$18,IF(Current_limit!M556=1,Current_limit!$B$12/(2*(Current_limit!N556-Helper_calcs!$B$15)),IF(OR(M556=2,M556=23),(Main!$B$18-Current_limit!O556)*Current_limit!O556/(Main!$B$18*loop_gain!$B$17*(Helper_calcs!$B$14-Helper_calcs!$B$15)),x)))</f>
        <v>948922.00285816146</v>
      </c>
      <c r="Q556" s="161"/>
    </row>
    <row r="557" spans="1:17" x14ac:dyDescent="0.25">
      <c r="A557">
        <f t="shared" si="72"/>
        <v>6.1599999999999122</v>
      </c>
      <c r="B557">
        <f>Main!$B$19/A557</f>
        <v>0.81168831168832323</v>
      </c>
      <c r="D557" s="161">
        <f t="shared" si="65"/>
        <v>0.81168831168832323</v>
      </c>
      <c r="E557" s="161">
        <f>-B557*Main!$B$18-2*Main!$B$18*loop_gain!$B$17*loop_gain!$B$18</f>
        <v>-176.06025974025988</v>
      </c>
      <c r="F557" s="161">
        <f>2*Main!$B$18*loop_gain!$B$17*loop_gain!$B$18*Helper_calcs!$B$14*Current_limit!B557</f>
        <v>526.50000000000739</v>
      </c>
      <c r="G557" s="161">
        <f t="shared" si="67"/>
        <v>3.0328599086191188</v>
      </c>
      <c r="H557" s="161">
        <f>(Main!$B$18-Current_limit!G557)*Current_limit!G557/(Main!$B$18*loop_gain!$B$17*loop_gain!$B$18)</f>
        <v>0.32703318516258123</v>
      </c>
      <c r="I557" s="161">
        <f t="shared" si="68"/>
        <v>3.5729668148374105</v>
      </c>
      <c r="J557" s="161"/>
      <c r="K557" s="163">
        <f>IF(A557&gt;$B$15,IF(I557&gt;Helper_calcs!$B$15,23,3),0)</f>
        <v>23</v>
      </c>
      <c r="L557" s="162">
        <f t="shared" si="66"/>
        <v>2</v>
      </c>
      <c r="M557" s="162">
        <f t="shared" si="69"/>
        <v>2</v>
      </c>
      <c r="N557" s="161">
        <f t="shared" si="70"/>
        <v>3.55</v>
      </c>
      <c r="O557" s="161">
        <f t="shared" si="71"/>
        <v>2.8814935064935474</v>
      </c>
      <c r="P557" s="149">
        <f>IF(OR(M557=0,M557=3),loop_gain!$B$18,IF(Current_limit!M557=1,Current_limit!$B$12/(2*(Current_limit!N557-Helper_calcs!$B$15)),IF(OR(M557=2,M557=23),(Main!$B$18-Current_limit!O557)*Current_limit!O557/(Main!$B$18*loop_gain!$B$17*(Helper_calcs!$B$14-Helper_calcs!$B$15)),x)))</f>
        <v>947868.58766082604</v>
      </c>
      <c r="Q557" s="161"/>
    </row>
    <row r="558" spans="1:17" x14ac:dyDescent="0.25">
      <c r="A558">
        <f t="shared" si="72"/>
        <v>6.169999999999912</v>
      </c>
      <c r="B558">
        <f>Main!$B$19/A558</f>
        <v>0.81037277147488995</v>
      </c>
      <c r="D558" s="161">
        <f t="shared" si="65"/>
        <v>0.81037277147488995</v>
      </c>
      <c r="E558" s="161">
        <f>-B558*Main!$B$18-2*Main!$B$18*loop_gain!$B$17*loop_gain!$B$18</f>
        <v>-176.04447325769868</v>
      </c>
      <c r="F558" s="161">
        <f>2*Main!$B$18*loop_gain!$B$17*loop_gain!$B$18*Helper_calcs!$B$14*Current_limit!B558</f>
        <v>525.64667747164435</v>
      </c>
      <c r="G558" s="161">
        <f t="shared" si="67"/>
        <v>3.0280826552173243</v>
      </c>
      <c r="H558" s="161">
        <f>(Main!$B$18-Current_limit!G558)*Current_limit!G558/(Main!$B$18*loop_gain!$B$17*loop_gain!$B$18)</f>
        <v>0.3266920069237601</v>
      </c>
      <c r="I558" s="161">
        <f t="shared" si="68"/>
        <v>3.5733079930762455</v>
      </c>
      <c r="J558" s="161"/>
      <c r="K558" s="163">
        <f>IF(A558&gt;$B$15,IF(I558&gt;Helper_calcs!$B$15,23,3),0)</f>
        <v>23</v>
      </c>
      <c r="L558" s="162">
        <f t="shared" si="66"/>
        <v>2</v>
      </c>
      <c r="M558" s="162">
        <f t="shared" si="69"/>
        <v>2</v>
      </c>
      <c r="N558" s="161">
        <f t="shared" si="70"/>
        <v>3.55</v>
      </c>
      <c r="O558" s="161">
        <f t="shared" si="71"/>
        <v>2.8768233387358593</v>
      </c>
      <c r="P558" s="149">
        <f>IF(OR(M558=0,M558=3),loop_gain!$B$18,IF(Current_limit!M558=1,Current_limit!$B$12/(2*(Current_limit!N558-Helper_calcs!$B$15)),IF(OR(M558=2,M558=23),(Main!$B$18-Current_limit!O558)*Current_limit!O558/(Main!$B$18*loop_gain!$B$17*(Helper_calcs!$B$14-Helper_calcs!$B$15)),x)))</f>
        <v>946817.01091396064</v>
      </c>
      <c r="Q558" s="161"/>
    </row>
    <row r="559" spans="1:17" x14ac:dyDescent="0.25">
      <c r="A559">
        <f t="shared" si="72"/>
        <v>6.1799999999999118</v>
      </c>
      <c r="B559">
        <f>Main!$B$19/A559</f>
        <v>0.80906148867315075</v>
      </c>
      <c r="D559" s="161">
        <f t="shared" si="65"/>
        <v>0.80906148867315075</v>
      </c>
      <c r="E559" s="161">
        <f>-B559*Main!$B$18-2*Main!$B$18*loop_gain!$B$17*loop_gain!$B$18</f>
        <v>-176.02873786407781</v>
      </c>
      <c r="F559" s="161">
        <f>2*Main!$B$18*loop_gain!$B$17*loop_gain!$B$18*Helper_calcs!$B$14*Current_limit!B559</f>
        <v>524.79611650486186</v>
      </c>
      <c r="G559" s="161">
        <f t="shared" si="67"/>
        <v>3.0233206428369543</v>
      </c>
      <c r="H559" s="161">
        <f>(Main!$B$18-Current_limit!G559)*Current_limit!G559/(Main!$B$18*loop_gain!$B$17*loop_gain!$B$18)</f>
        <v>0.32635137090715971</v>
      </c>
      <c r="I559" s="161">
        <f t="shared" si="68"/>
        <v>3.5736486290928422</v>
      </c>
      <c r="J559" s="161"/>
      <c r="K559" s="163">
        <f>IF(A559&gt;$B$15,IF(I559&gt;Helper_calcs!$B$15,23,3),0)</f>
        <v>23</v>
      </c>
      <c r="L559" s="162">
        <f t="shared" si="66"/>
        <v>2</v>
      </c>
      <c r="M559" s="162">
        <f t="shared" si="69"/>
        <v>2</v>
      </c>
      <c r="N559" s="161">
        <f t="shared" si="70"/>
        <v>3.55</v>
      </c>
      <c r="O559" s="161">
        <f t="shared" si="71"/>
        <v>2.872168284789685</v>
      </c>
      <c r="P559" s="149">
        <f>IF(OR(M559=0,M559=3),loop_gain!$B$18,IF(Current_limit!M559=1,Current_limit!$B$12/(2*(Current_limit!N559-Helper_calcs!$B$15)),IF(OR(M559=2,M559=23),(Main!$B$18-Current_limit!O559)*Current_limit!O559/(Main!$B$18*loop_gain!$B$17*(Helper_calcs!$B$14-Helper_calcs!$B$15)),x)))</f>
        <v>945767.271332053</v>
      </c>
      <c r="Q559" s="161"/>
    </row>
    <row r="560" spans="1:17" x14ac:dyDescent="0.25">
      <c r="A560">
        <f t="shared" si="72"/>
        <v>6.1899999999999116</v>
      </c>
      <c r="B560">
        <f>Main!$B$19/A560</f>
        <v>0.80775444264944607</v>
      </c>
      <c r="D560" s="161">
        <f t="shared" si="65"/>
        <v>0.80775444264944607</v>
      </c>
      <c r="E560" s="161">
        <f>-B560*Main!$B$18-2*Main!$B$18*loop_gain!$B$17*loop_gain!$B$18</f>
        <v>-176.01305331179336</v>
      </c>
      <c r="F560" s="161">
        <f>2*Main!$B$18*loop_gain!$B$17*loop_gain!$B$18*Helper_calcs!$B$14*Current_limit!B560</f>
        <v>523.94830371567787</v>
      </c>
      <c r="G560" s="161">
        <f t="shared" si="67"/>
        <v>3.0185737976355296</v>
      </c>
      <c r="H560" s="161">
        <f>(Main!$B$18-Current_limit!G560)*Current_limit!G560/(Main!$B$18*loop_gain!$B$17*loop_gain!$B$18)</f>
        <v>0.32601127705452831</v>
      </c>
      <c r="I560" s="161">
        <f t="shared" si="68"/>
        <v>3.5739887229454683</v>
      </c>
      <c r="J560" s="161"/>
      <c r="K560" s="163">
        <f>IF(A560&gt;$B$15,IF(I560&gt;Helper_calcs!$B$15,23,3),0)</f>
        <v>23</v>
      </c>
      <c r="L560" s="162">
        <f t="shared" si="66"/>
        <v>2</v>
      </c>
      <c r="M560" s="162">
        <f t="shared" si="69"/>
        <v>2</v>
      </c>
      <c r="N560" s="161">
        <f t="shared" si="70"/>
        <v>3.55</v>
      </c>
      <c r="O560" s="161">
        <f t="shared" si="71"/>
        <v>2.8675282714055332</v>
      </c>
      <c r="P560" s="149">
        <f>IF(OR(M560=0,M560=3),loop_gain!$B$18,IF(Current_limit!M560=1,Current_limit!$B$12/(2*(Current_limit!N560-Helper_calcs!$B$15)),IF(OR(M560=2,M560=23),(Main!$B$18-Current_limit!O560)*Current_limit!O560/(Main!$B$18*loop_gain!$B$17*(Helper_calcs!$B$14-Helper_calcs!$B$15)),x)))</f>
        <v>944719.36758861493</v>
      </c>
      <c r="Q560" s="161"/>
    </row>
    <row r="561" spans="1:17" x14ac:dyDescent="0.25">
      <c r="A561">
        <f t="shared" si="72"/>
        <v>6.1999999999999114</v>
      </c>
      <c r="B561">
        <f>Main!$B$19/A561</f>
        <v>0.8064516129032373</v>
      </c>
      <c r="D561" s="161">
        <f t="shared" si="65"/>
        <v>0.8064516129032373</v>
      </c>
      <c r="E561" s="161">
        <f>-B561*Main!$B$18-2*Main!$B$18*loop_gain!$B$17*loop_gain!$B$18</f>
        <v>-175.99741935483883</v>
      </c>
      <c r="F561" s="161">
        <f>2*Main!$B$18*loop_gain!$B$17*loop_gain!$B$18*Helper_calcs!$B$14*Current_limit!B561</f>
        <v>523.10322580645902</v>
      </c>
      <c r="G561" s="161">
        <f t="shared" si="67"/>
        <v>3.0138420462533175</v>
      </c>
      <c r="H561" s="161">
        <f>(Main!$B$18-Current_limit!G561)*Current_limit!G561/(Main!$B$18*loop_gain!$B$17*loop_gain!$B$18)</f>
        <v>0.3256717252919123</v>
      </c>
      <c r="I561" s="161">
        <f t="shared" si="68"/>
        <v>3.5743282747081042</v>
      </c>
      <c r="J561" s="161"/>
      <c r="K561" s="163">
        <f>IF(A561&gt;$B$15,IF(I561&gt;Helper_calcs!$B$15,23,3),0)</f>
        <v>23</v>
      </c>
      <c r="L561" s="162">
        <f t="shared" si="66"/>
        <v>2</v>
      </c>
      <c r="M561" s="162">
        <f t="shared" si="69"/>
        <v>2</v>
      </c>
      <c r="N561" s="161">
        <f t="shared" si="70"/>
        <v>3.55</v>
      </c>
      <c r="O561" s="161">
        <f t="shared" si="71"/>
        <v>2.8629032258064924</v>
      </c>
      <c r="P561" s="149">
        <f>IF(OR(M561=0,M561=3),loop_gain!$B$18,IF(Current_limit!M561=1,Current_limit!$B$12/(2*(Current_limit!N561-Helper_calcs!$B$15)),IF(OR(M561=2,M561=23),(Main!$B$18-Current_limit!O561)*Current_limit!O561/(Main!$B$18*loop_gain!$B$17*(Helper_calcs!$B$14-Helper_calcs!$B$15)),x)))</f>
        <v>943673.2983169083</v>
      </c>
      <c r="Q561" s="161"/>
    </row>
    <row r="562" spans="1:17" x14ac:dyDescent="0.25">
      <c r="A562">
        <f t="shared" si="72"/>
        <v>6.2099999999999111</v>
      </c>
      <c r="B562">
        <f>Main!$B$19/A562</f>
        <v>0.80515297906603411</v>
      </c>
      <c r="D562" s="161">
        <f t="shared" si="65"/>
        <v>0.80515297906603411</v>
      </c>
      <c r="E562" s="161">
        <f>-B562*Main!$B$18-2*Main!$B$18*loop_gain!$B$17*loop_gain!$B$18</f>
        <v>-175.98183574879241</v>
      </c>
      <c r="F562" s="161">
        <f>2*Main!$B$18*loop_gain!$B$17*loop_gain!$B$18*Helper_calcs!$B$14*Current_limit!B562</f>
        <v>522.26086956522488</v>
      </c>
      <c r="G562" s="161">
        <f t="shared" si="67"/>
        <v>3.0091253158092699</v>
      </c>
      <c r="H562" s="161">
        <f>(Main!$B$18-Current_limit!G562)*Current_limit!G562/(Main!$B$18*loop_gain!$B$17*loop_gain!$B$18)</f>
        <v>0.32533271552990622</v>
      </c>
      <c r="I562" s="161">
        <f t="shared" si="68"/>
        <v>3.5746672844701064</v>
      </c>
      <c r="J562" s="161"/>
      <c r="K562" s="163">
        <f>IF(A562&gt;$B$15,IF(I562&gt;Helper_calcs!$B$15,23,3),0)</f>
        <v>23</v>
      </c>
      <c r="L562" s="162">
        <f t="shared" si="66"/>
        <v>2</v>
      </c>
      <c r="M562" s="162">
        <f t="shared" si="69"/>
        <v>2</v>
      </c>
      <c r="N562" s="161">
        <f t="shared" si="70"/>
        <v>3.55</v>
      </c>
      <c r="O562" s="161">
        <f t="shared" si="71"/>
        <v>2.8582930756844211</v>
      </c>
      <c r="P562" s="149">
        <f>IF(OR(M562=0,M562=3),loop_gain!$B$18,IF(Current_limit!M562=1,Current_limit!$B$12/(2*(Current_limit!N562-Helper_calcs!$B$15)),IF(OR(M562=2,M562=23),(Main!$B$18-Current_limit!O562)*Current_limit!O562/(Main!$B$18*loop_gain!$B$17*(Helper_calcs!$B$14-Helper_calcs!$B$15)),x)))</f>
        <v>942629.06211066211</v>
      </c>
      <c r="Q562" s="161"/>
    </row>
    <row r="563" spans="1:17" x14ac:dyDescent="0.25">
      <c r="A563">
        <f t="shared" si="72"/>
        <v>6.2199999999999109</v>
      </c>
      <c r="B563">
        <f>Main!$B$19/A563</f>
        <v>0.80385852090033305</v>
      </c>
      <c r="D563" s="161">
        <f t="shared" si="65"/>
        <v>0.80385852090033305</v>
      </c>
      <c r="E563" s="161">
        <f>-B563*Main!$B$18-2*Main!$B$18*loop_gain!$B$17*loop_gain!$B$18</f>
        <v>-175.96630225080398</v>
      </c>
      <c r="F563" s="161">
        <f>2*Main!$B$18*loop_gain!$B$17*loop_gain!$B$18*Helper_calcs!$B$14*Current_limit!B563</f>
        <v>521.42122186495919</v>
      </c>
      <c r="G563" s="161">
        <f t="shared" si="67"/>
        <v>3.0044235338971723</v>
      </c>
      <c r="H563" s="161">
        <f>(Main!$B$18-Current_limit!G563)*Current_limit!G563/(Main!$B$18*loop_gain!$B$17*loop_gain!$B$18)</f>
        <v>0.32499424766391166</v>
      </c>
      <c r="I563" s="161">
        <f t="shared" si="68"/>
        <v>3.575005752336073</v>
      </c>
      <c r="J563" s="161"/>
      <c r="K563" s="163">
        <f>IF(A563&gt;$B$15,IF(I563&gt;Helper_calcs!$B$15,23,3),0)</f>
        <v>23</v>
      </c>
      <c r="L563" s="162">
        <f t="shared" si="66"/>
        <v>2</v>
      </c>
      <c r="M563" s="162">
        <f t="shared" si="69"/>
        <v>2</v>
      </c>
      <c r="N563" s="161">
        <f t="shared" si="70"/>
        <v>3.55</v>
      </c>
      <c r="O563" s="161">
        <f t="shared" si="71"/>
        <v>2.8536977491961824</v>
      </c>
      <c r="P563" s="149">
        <f>IF(OR(M563=0,M563=3),loop_gain!$B$18,IF(Current_limit!M563=1,Current_limit!$B$12/(2*(Current_limit!N563-Helper_calcs!$B$15)),IF(OR(M563=2,M563=23),(Main!$B$18-Current_limit!O563)*Current_limit!O563/(Main!$B$18*loop_gain!$B$17*(Helper_calcs!$B$14-Helper_calcs!$B$15)),x)))</f>
        <v>941586.65752477781</v>
      </c>
      <c r="Q563" s="161"/>
    </row>
    <row r="564" spans="1:17" x14ac:dyDescent="0.25">
      <c r="A564">
        <f t="shared" si="72"/>
        <v>6.2299999999999107</v>
      </c>
      <c r="B564">
        <f>Main!$B$19/A564</f>
        <v>0.80256821829856684</v>
      </c>
      <c r="D564" s="161">
        <f t="shared" si="65"/>
        <v>0.80256821829856684</v>
      </c>
      <c r="E564" s="161">
        <f>-B564*Main!$B$18-2*Main!$B$18*loop_gain!$B$17*loop_gain!$B$18</f>
        <v>-175.9508186195828</v>
      </c>
      <c r="F564" s="161">
        <f>2*Main!$B$18*loop_gain!$B$17*loop_gain!$B$18*Helper_calcs!$B$14*Current_limit!B564</f>
        <v>520.5842696629287</v>
      </c>
      <c r="G564" s="161">
        <f t="shared" si="67"/>
        <v>2.9997366285817471</v>
      </c>
      <c r="H564" s="161">
        <f>(Main!$B$18-Current_limit!G564)*Current_limit!G564/(Main!$B$18*loop_gain!$B$17*loop_gain!$B$18)</f>
        <v>0.32465632157438651</v>
      </c>
      <c r="I564" s="161">
        <f t="shared" si="68"/>
        <v>3.5753436784256101</v>
      </c>
      <c r="J564" s="161"/>
      <c r="K564" s="163">
        <f>IF(A564&gt;$B$15,IF(I564&gt;Helper_calcs!$B$15,23,3),0)</f>
        <v>23</v>
      </c>
      <c r="L564" s="162">
        <f t="shared" si="66"/>
        <v>2</v>
      </c>
      <c r="M564" s="162">
        <f t="shared" si="69"/>
        <v>2</v>
      </c>
      <c r="N564" s="161">
        <f t="shared" si="70"/>
        <v>3.55</v>
      </c>
      <c r="O564" s="161">
        <f t="shared" si="71"/>
        <v>2.849117174959912</v>
      </c>
      <c r="P564" s="149">
        <f>IF(OR(M564=0,M564=3),loop_gain!$B$18,IF(Current_limit!M564=1,Current_limit!$B$12/(2*(Current_limit!N564-Helper_calcs!$B$15)),IF(OR(M564=2,M564=23),(Main!$B$18-Current_limit!O564)*Current_limit!O564/(Main!$B$18*loop_gain!$B$17*(Helper_calcs!$B$14-Helper_calcs!$B$15)),x)))</f>
        <v>940546.08307602478</v>
      </c>
      <c r="Q564" s="161"/>
    </row>
    <row r="565" spans="1:17" x14ac:dyDescent="0.25">
      <c r="A565">
        <f t="shared" si="72"/>
        <v>6.2399999999999105</v>
      </c>
      <c r="B565">
        <f>Main!$B$19/A565</f>
        <v>0.80128205128206276</v>
      </c>
      <c r="D565" s="161">
        <f t="shared" si="65"/>
        <v>0.80128205128206276</v>
      </c>
      <c r="E565" s="161">
        <f>-B565*Main!$B$18-2*Main!$B$18*loop_gain!$B$17*loop_gain!$B$18</f>
        <v>-175.93538461538475</v>
      </c>
      <c r="F565" s="161">
        <f>2*Main!$B$18*loop_gain!$B$17*loop_gain!$B$18*Helper_calcs!$B$14*Current_limit!B565</f>
        <v>519.75000000000739</v>
      </c>
      <c r="G565" s="161">
        <f t="shared" si="67"/>
        <v>2.9950645283946389</v>
      </c>
      <c r="H565" s="161">
        <f>(Main!$B$18-Current_limit!G565)*Current_limit!G565/(Main!$B$18*loop_gain!$B$17*loop_gain!$B$18)</f>
        <v>0.32431893712707871</v>
      </c>
      <c r="I565" s="161">
        <f t="shared" si="68"/>
        <v>3.5756810628729165</v>
      </c>
      <c r="J565" s="161"/>
      <c r="K565" s="163">
        <f>IF(A565&gt;$B$15,IF(I565&gt;Helper_calcs!$B$15,23,3),0)</f>
        <v>23</v>
      </c>
      <c r="L565" s="162">
        <f t="shared" si="66"/>
        <v>2</v>
      </c>
      <c r="M565" s="162">
        <f t="shared" si="69"/>
        <v>2</v>
      </c>
      <c r="N565" s="161">
        <f t="shared" si="70"/>
        <v>3.55</v>
      </c>
      <c r="O565" s="161">
        <f t="shared" si="71"/>
        <v>2.8445512820513228</v>
      </c>
      <c r="P565" s="149">
        <f>IF(OR(M565=0,M565=3),loop_gain!$B$18,IF(Current_limit!M565=1,Current_limit!$B$12/(2*(Current_limit!N565-Helper_calcs!$B$15)),IF(OR(M565=2,M565=23),(Main!$B$18-Current_limit!O565)*Current_limit!O565/(Main!$B$18*loop_gain!$B$17*(Helper_calcs!$B$14-Helper_calcs!$B$15)),x)))</f>
        <v>939507.33724372496</v>
      </c>
      <c r="Q565" s="161"/>
    </row>
    <row r="566" spans="1:17" x14ac:dyDescent="0.25">
      <c r="A566">
        <f t="shared" si="72"/>
        <v>6.2499999999999103</v>
      </c>
      <c r="B566">
        <f>Main!$B$19/A566</f>
        <v>0.80000000000001148</v>
      </c>
      <c r="D566" s="161">
        <f t="shared" si="65"/>
        <v>0.80000000000001148</v>
      </c>
      <c r="E566" s="161">
        <f>-B566*Main!$B$18-2*Main!$B$18*loop_gain!$B$17*loop_gain!$B$18</f>
        <v>-175.92000000000013</v>
      </c>
      <c r="F566" s="161">
        <f>2*Main!$B$18*loop_gain!$B$17*loop_gain!$B$18*Helper_calcs!$B$14*Current_limit!B566</f>
        <v>518.91840000000741</v>
      </c>
      <c r="G566" s="161">
        <f t="shared" si="67"/>
        <v>2.9904071623307362</v>
      </c>
      <c r="H566" s="161">
        <f>(Main!$B$18-Current_limit!G566)*Current_limit!G566/(Main!$B$18*loop_gain!$B$17*loop_gain!$B$18)</f>
        <v>0.32398209417327883</v>
      </c>
      <c r="I566" s="161">
        <f t="shared" si="68"/>
        <v>3.5760179058267272</v>
      </c>
      <c r="J566" s="161"/>
      <c r="K566" s="163">
        <f>IF(A566&gt;$B$15,IF(I566&gt;Helper_calcs!$B$15,23,3),0)</f>
        <v>23</v>
      </c>
      <c r="L566" s="162">
        <f t="shared" si="66"/>
        <v>2</v>
      </c>
      <c r="M566" s="162">
        <f t="shared" si="69"/>
        <v>2</v>
      </c>
      <c r="N566" s="161">
        <f t="shared" si="70"/>
        <v>3.55</v>
      </c>
      <c r="O566" s="161">
        <f t="shared" si="71"/>
        <v>2.8400000000000407</v>
      </c>
      <c r="P566" s="149">
        <f>IF(OR(M566=0,M566=3),loop_gain!$B$18,IF(Current_limit!M566=1,Current_limit!$B$12/(2*(Current_limit!N566-Helper_calcs!$B$15)),IF(OR(M566=2,M566=23),(Main!$B$18-Current_limit!O566)*Current_limit!O566/(Main!$B$18*loop_gain!$B$17*(Helper_calcs!$B$14-Helper_calcs!$B$15)),x)))</f>
        <v>938470.41847042821</v>
      </c>
      <c r="Q566" s="161"/>
    </row>
    <row r="567" spans="1:17" x14ac:dyDescent="0.25">
      <c r="A567">
        <f t="shared" si="72"/>
        <v>6.2599999999999101</v>
      </c>
      <c r="B567">
        <f>Main!$B$19/A567</f>
        <v>0.79872204472844599</v>
      </c>
      <c r="D567" s="161">
        <f t="shared" si="65"/>
        <v>0.79872204472844599</v>
      </c>
      <c r="E567" s="161">
        <f>-B567*Main!$B$18-2*Main!$B$18*loop_gain!$B$17*loop_gain!$B$18</f>
        <v>-175.90466453674134</v>
      </c>
      <c r="F567" s="161">
        <f>2*Main!$B$18*loop_gain!$B$17*loop_gain!$B$18*Helper_calcs!$B$14*Current_limit!B567</f>
        <v>518.089456869017</v>
      </c>
      <c r="G567" s="161">
        <f t="shared" si="67"/>
        <v>2.9857644598442681</v>
      </c>
      <c r="H567" s="161">
        <f>(Main!$B$18-Current_limit!G567)*Current_limit!G567/(Main!$B$18*loop_gain!$B$17*loop_gain!$B$18)</f>
        <v>0.32364579255004911</v>
      </c>
      <c r="I567" s="161">
        <f t="shared" si="68"/>
        <v>3.5763542074499455</v>
      </c>
      <c r="J567" s="161"/>
      <c r="K567" s="163">
        <f>IF(A567&gt;$B$15,IF(I567&gt;Helper_calcs!$B$15,23,3),0)</f>
        <v>23</v>
      </c>
      <c r="L567" s="162">
        <f t="shared" si="66"/>
        <v>2</v>
      </c>
      <c r="M567" s="162">
        <f t="shared" si="69"/>
        <v>2</v>
      </c>
      <c r="N567" s="161">
        <f t="shared" si="70"/>
        <v>3.55</v>
      </c>
      <c r="O567" s="161">
        <f t="shared" si="71"/>
        <v>2.8354632587859832</v>
      </c>
      <c r="P567" s="149">
        <f>IF(OR(M567=0,M567=3),loop_gain!$B$18,IF(Current_limit!M567=1,Current_limit!$B$12/(2*(Current_limit!N567-Helper_calcs!$B$15)),IF(OR(M567=2,M567=23),(Main!$B$18-Current_limit!O567)*Current_limit!O567/(Main!$B$18*loop_gain!$B$17*(Helper_calcs!$B$14-Helper_calcs!$B$15)),x)))</f>
        <v>937435.325162575</v>
      </c>
      <c r="Q567" s="161"/>
    </row>
    <row r="568" spans="1:17" x14ac:dyDescent="0.25">
      <c r="A568">
        <f t="shared" si="72"/>
        <v>6.2699999999999099</v>
      </c>
      <c r="B568">
        <f>Main!$B$19/A568</f>
        <v>0.79744816586922995</v>
      </c>
      <c r="D568" s="161">
        <f t="shared" si="65"/>
        <v>0.79744816586922995</v>
      </c>
      <c r="E568" s="161">
        <f>-B568*Main!$B$18-2*Main!$B$18*loop_gain!$B$17*loop_gain!$B$18</f>
        <v>-175.88937799043075</v>
      </c>
      <c r="F568" s="161">
        <f>2*Main!$B$18*loop_gain!$B$17*loop_gain!$B$18*Helper_calcs!$B$14*Current_limit!B568</f>
        <v>517.26315789474415</v>
      </c>
      <c r="G568" s="161">
        <f t="shared" si="67"/>
        <v>2.9811363508451527</v>
      </c>
      <c r="H568" s="161">
        <f>(Main!$B$18-Current_limit!G568)*Current_limit!G568/(Main!$B$18*loop_gain!$B$17*loop_gain!$B$18)</f>
        <v>0.3233100320804651</v>
      </c>
      <c r="I568" s="161">
        <f t="shared" si="68"/>
        <v>3.5766899679195356</v>
      </c>
      <c r="J568" s="161"/>
      <c r="K568" s="163">
        <f>IF(A568&gt;$B$15,IF(I568&gt;Helper_calcs!$B$15,23,3),0)</f>
        <v>23</v>
      </c>
      <c r="L568" s="162">
        <f t="shared" si="66"/>
        <v>2</v>
      </c>
      <c r="M568" s="162">
        <f t="shared" si="69"/>
        <v>2</v>
      </c>
      <c r="N568" s="161">
        <f t="shared" si="70"/>
        <v>3.55</v>
      </c>
      <c r="O568" s="161">
        <f t="shared" si="71"/>
        <v>2.8309409888357662</v>
      </c>
      <c r="P568" s="149">
        <f>IF(OR(M568=0,M568=3),loop_gain!$B$18,IF(Current_limit!M568=1,Current_limit!$B$12/(2*(Current_limit!N568-Helper_calcs!$B$15)),IF(OR(M568=2,M568=23),(Main!$B$18-Current_limit!O568)*Current_limit!O568/(Main!$B$18*loop_gain!$B$17*(Helper_calcs!$B$14-Helper_calcs!$B$15)),x)))</f>
        <v>936402.05569115351</v>
      </c>
      <c r="Q568" s="161"/>
    </row>
    <row r="569" spans="1:17" x14ac:dyDescent="0.25">
      <c r="A569">
        <f t="shared" si="72"/>
        <v>6.2799999999999097</v>
      </c>
      <c r="B569">
        <f>Main!$B$19/A569</f>
        <v>0.79617834394905607</v>
      </c>
      <c r="D569" s="161">
        <f t="shared" si="65"/>
        <v>0.79617834394905607</v>
      </c>
      <c r="E569" s="161">
        <f>-B569*Main!$B$18-2*Main!$B$18*loop_gain!$B$17*loop_gain!$B$18</f>
        <v>-175.87414012738867</v>
      </c>
      <c r="F569" s="161">
        <f>2*Main!$B$18*loop_gain!$B$17*loop_gain!$B$18*Helper_calcs!$B$14*Current_limit!B569</f>
        <v>516.43949044586725</v>
      </c>
      <c r="G569" s="161">
        <f t="shared" si="67"/>
        <v>2.9765227656951732</v>
      </c>
      <c r="H569" s="161">
        <f>(Main!$B$18-Current_limit!G569)*Current_limit!G569/(Main!$B$18*loop_gain!$B$17*loop_gain!$B$18)</f>
        <v>0.32297481257383887</v>
      </c>
      <c r="I569" s="161">
        <f t="shared" si="68"/>
        <v>3.5770251874261643</v>
      </c>
      <c r="J569" s="161"/>
      <c r="K569" s="163">
        <f>IF(A569&gt;$B$15,IF(I569&gt;Helper_calcs!$B$15,23,3),0)</f>
        <v>23</v>
      </c>
      <c r="L569" s="162">
        <f t="shared" si="66"/>
        <v>2</v>
      </c>
      <c r="M569" s="162">
        <f t="shared" si="69"/>
        <v>2</v>
      </c>
      <c r="N569" s="161">
        <f t="shared" si="70"/>
        <v>3.55</v>
      </c>
      <c r="O569" s="161">
        <f t="shared" si="71"/>
        <v>2.8264331210191487</v>
      </c>
      <c r="P569" s="149">
        <f>IF(OR(M569=0,M569=3),loop_gain!$B$18,IF(Current_limit!M569=1,Current_limit!$B$12/(2*(Current_limit!N569-Helper_calcs!$B$15)),IF(OR(M569=2,M569=23),(Main!$B$18-Current_limit!O569)*Current_limit!O569/(Main!$B$18*loop_gain!$B$17*(Helper_calcs!$B$14-Helper_calcs!$B$15)),x)))</f>
        <v>935370.60839234316</v>
      </c>
      <c r="Q569" s="161"/>
    </row>
    <row r="570" spans="1:17" x14ac:dyDescent="0.25">
      <c r="A570">
        <f t="shared" si="72"/>
        <v>6.2899999999999094</v>
      </c>
      <c r="B570">
        <f>Main!$B$19/A570</f>
        <v>0.79491255961845342</v>
      </c>
      <c r="D570" s="161">
        <f t="shared" si="65"/>
        <v>0.79491255961845342</v>
      </c>
      <c r="E570" s="161">
        <f>-B570*Main!$B$18-2*Main!$B$18*loop_gain!$B$17*loop_gain!$B$18</f>
        <v>-175.85895071542143</v>
      </c>
      <c r="F570" s="161">
        <f>2*Main!$B$18*loop_gain!$B$17*loop_gain!$B$18*Helper_calcs!$B$14*Current_limit!B570</f>
        <v>515.61844197139055</v>
      </c>
      <c r="G570" s="161">
        <f t="shared" si="67"/>
        <v>2.9719236352043472</v>
      </c>
      <c r="H570" s="161">
        <f>(Main!$B$18-Current_limit!G570)*Current_limit!G570/(Main!$B$18*loop_gain!$B$17*loop_gain!$B$18)</f>
        <v>0.3226401338259493</v>
      </c>
      <c r="I570" s="161">
        <f t="shared" si="68"/>
        <v>3.5773598661740404</v>
      </c>
      <c r="J570" s="161"/>
      <c r="K570" s="163">
        <f>IF(A570&gt;$B$15,IF(I570&gt;Helper_calcs!$B$15,23,3),0)</f>
        <v>23</v>
      </c>
      <c r="L570" s="162">
        <f t="shared" si="66"/>
        <v>2</v>
      </c>
      <c r="M570" s="162">
        <f t="shared" si="69"/>
        <v>2</v>
      </c>
      <c r="N570" s="161">
        <f t="shared" si="70"/>
        <v>3.55</v>
      </c>
      <c r="O570" s="161">
        <f t="shared" si="71"/>
        <v>2.8219395866455095</v>
      </c>
      <c r="P570" s="149">
        <f>IF(OR(M570=0,M570=3),loop_gain!$B$18,IF(Current_limit!M570=1,Current_limit!$B$12/(2*(Current_limit!N570-Helper_calcs!$B$15)),IF(OR(M570=2,M570=23),(Main!$B$18-Current_limit!O570)*Current_limit!O570/(Main!$B$18*loop_gain!$B$17*(Helper_calcs!$B$14-Helper_calcs!$B$15)),x)))</f>
        <v>934340.98156814929</v>
      </c>
      <c r="Q570" s="161"/>
    </row>
    <row r="571" spans="1:17" x14ac:dyDescent="0.25">
      <c r="A571">
        <f t="shared" si="72"/>
        <v>6.2999999999999092</v>
      </c>
      <c r="B571">
        <f>Main!$B$19/A571</f>
        <v>0.79365079365080504</v>
      </c>
      <c r="D571" s="161">
        <f t="shared" si="65"/>
        <v>0.79365079365080504</v>
      </c>
      <c r="E571" s="161">
        <f>-B571*Main!$B$18-2*Main!$B$18*loop_gain!$B$17*loop_gain!$B$18</f>
        <v>-175.84380952380965</v>
      </c>
      <c r="F571" s="161">
        <f>2*Main!$B$18*loop_gain!$B$17*loop_gain!$B$18*Helper_calcs!$B$14*Current_limit!B571</f>
        <v>514.80000000000734</v>
      </c>
      <c r="G571" s="161">
        <f t="shared" si="67"/>
        <v>2.9673388906273082</v>
      </c>
      <c r="H571" s="161">
        <f>(Main!$B$18-Current_limit!G571)*Current_limit!G571/(Main!$B$18*loop_gain!$B$17*loop_gain!$B$18)</f>
        <v>0.32230599561926881</v>
      </c>
      <c r="I571" s="161">
        <f t="shared" si="68"/>
        <v>3.5776940043807204</v>
      </c>
      <c r="J571" s="161"/>
      <c r="K571" s="163">
        <f>IF(A571&gt;$B$15,IF(I571&gt;Helper_calcs!$B$15,23,3),0)</f>
        <v>23</v>
      </c>
      <c r="L571" s="162">
        <f t="shared" si="66"/>
        <v>2</v>
      </c>
      <c r="M571" s="162">
        <f t="shared" si="69"/>
        <v>2</v>
      </c>
      <c r="N571" s="161">
        <f t="shared" si="70"/>
        <v>3.55</v>
      </c>
      <c r="O571" s="161">
        <f t="shared" si="71"/>
        <v>2.8174603174603576</v>
      </c>
      <c r="P571" s="149">
        <f>IF(OR(M571=0,M571=3),loop_gain!$B$18,IF(Current_limit!M571=1,Current_limit!$B$12/(2*(Current_limit!N571-Helper_calcs!$B$15)),IF(OR(M571=2,M571=23),(Main!$B$18-Current_limit!O571)*Current_limit!O571/(Main!$B$18*loop_gain!$B$17*(Helper_calcs!$B$14-Helper_calcs!$B$15)),x)))</f>
        <v>933313.17348703055</v>
      </c>
      <c r="Q571" s="161"/>
    </row>
    <row r="572" spans="1:17" x14ac:dyDescent="0.25">
      <c r="A572">
        <f t="shared" si="72"/>
        <v>6.309999999999909</v>
      </c>
      <c r="B572">
        <f>Main!$B$19/A572</f>
        <v>0.79239302694137437</v>
      </c>
      <c r="D572" s="161">
        <f t="shared" si="65"/>
        <v>0.79239302694137437</v>
      </c>
      <c r="E572" s="161">
        <f>-B572*Main!$B$18-2*Main!$B$18*loop_gain!$B$17*loop_gain!$B$18</f>
        <v>-175.82871632329648</v>
      </c>
      <c r="F572" s="161">
        <f>2*Main!$B$18*loop_gain!$B$17*loop_gain!$B$18*Helper_calcs!$B$14*Current_limit!B572</f>
        <v>513.98415213946851</v>
      </c>
      <c r="G572" s="161">
        <f t="shared" si="67"/>
        <v>2.9627684636596419</v>
      </c>
      <c r="H572" s="161">
        <f>(Main!$B$18-Current_limit!G572)*Current_limit!G572/(Main!$B$18*loop_gain!$B$17*loop_gain!$B$18)</f>
        <v>0.3219723977231792</v>
      </c>
      <c r="I572" s="161">
        <f t="shared" si="68"/>
        <v>3.5780276022768245</v>
      </c>
      <c r="J572" s="161"/>
      <c r="K572" s="163">
        <f>IF(A572&gt;$B$15,IF(I572&gt;Helper_calcs!$B$15,23,3),0)</f>
        <v>23</v>
      </c>
      <c r="L572" s="162">
        <f t="shared" si="66"/>
        <v>2</v>
      </c>
      <c r="M572" s="162">
        <f t="shared" si="69"/>
        <v>2</v>
      </c>
      <c r="N572" s="161">
        <f t="shared" si="70"/>
        <v>3.55</v>
      </c>
      <c r="O572" s="161">
        <f t="shared" si="71"/>
        <v>2.8129952456418787</v>
      </c>
      <c r="P572" s="149">
        <f>IF(OR(M572=0,M572=3),loop_gain!$B$18,IF(Current_limit!M572=1,Current_limit!$B$12/(2*(Current_limit!N572-Helper_calcs!$B$15)),IF(OR(M572=2,M572=23),(Main!$B$18-Current_limit!O572)*Current_limit!O572/(Main!$B$18*loop_gain!$B$17*(Helper_calcs!$B$14-Helper_calcs!$B$15)),x)))</f>
        <v>932287.18238451448</v>
      </c>
      <c r="Q572" s="161"/>
    </row>
    <row r="573" spans="1:17" x14ac:dyDescent="0.25">
      <c r="A573">
        <f t="shared" si="72"/>
        <v>6.3199999999999088</v>
      </c>
      <c r="B573">
        <f>Main!$B$19/A573</f>
        <v>0.79113924050634055</v>
      </c>
      <c r="D573" s="161">
        <f t="shared" si="65"/>
        <v>0.79113924050634055</v>
      </c>
      <c r="E573" s="161">
        <f>-B573*Main!$B$18-2*Main!$B$18*loop_gain!$B$17*loop_gain!$B$18</f>
        <v>-175.81367088607607</v>
      </c>
      <c r="F573" s="161">
        <f>2*Main!$B$18*loop_gain!$B$17*loop_gain!$B$18*Helper_calcs!$B$14*Current_limit!B573</f>
        <v>513.17088607595667</v>
      </c>
      <c r="G573" s="161">
        <f t="shared" si="67"/>
        <v>2.9582122864343079</v>
      </c>
      <c r="H573" s="161">
        <f>(Main!$B$18-Current_limit!G573)*Current_limit!G573/(Main!$B$18*loop_gain!$B$17*loop_gain!$B$18)</f>
        <v>0.32163933989418952</v>
      </c>
      <c r="I573" s="161">
        <f t="shared" si="68"/>
        <v>3.5783606601058162</v>
      </c>
      <c r="J573" s="161"/>
      <c r="K573" s="163">
        <f>IF(A573&gt;$B$15,IF(I573&gt;Helper_calcs!$B$15,23,3),0)</f>
        <v>23</v>
      </c>
      <c r="L573" s="162">
        <f t="shared" si="66"/>
        <v>2</v>
      </c>
      <c r="M573" s="162">
        <f t="shared" si="69"/>
        <v>2</v>
      </c>
      <c r="N573" s="161">
        <f t="shared" si="70"/>
        <v>3.55</v>
      </c>
      <c r="O573" s="161">
        <f t="shared" si="71"/>
        <v>2.8085443037975089</v>
      </c>
      <c r="P573" s="149">
        <f>IF(OR(M573=0,M573=3),loop_gain!$B$18,IF(Current_limit!M573=1,Current_limit!$B$12/(2*(Current_limit!N573-Helper_calcs!$B$15)),IF(OR(M573=2,M573=23),(Main!$B$18-Current_limit!O573)*Current_limit!O573/(Main!$B$18*loop_gain!$B$17*(Helper_calcs!$B$14-Helper_calcs!$B$15)),x)))</f>
        <v>931263.00646380521</v>
      </c>
      <c r="Q573" s="161"/>
    </row>
    <row r="574" spans="1:17" x14ac:dyDescent="0.25">
      <c r="A574">
        <f t="shared" si="72"/>
        <v>6.3299999999999086</v>
      </c>
      <c r="B574">
        <f>Main!$B$19/A574</f>
        <v>0.78988941548184399</v>
      </c>
      <c r="D574" s="161">
        <f t="shared" si="65"/>
        <v>0.78988941548184399</v>
      </c>
      <c r="E574" s="161">
        <f>-B574*Main!$B$18-2*Main!$B$18*loop_gain!$B$17*loop_gain!$B$18</f>
        <v>-175.79867298578213</v>
      </c>
      <c r="F574" s="161">
        <f>2*Main!$B$18*loop_gain!$B$17*loop_gain!$B$18*Helper_calcs!$B$14*Current_limit!B574</f>
        <v>512.3601895734671</v>
      </c>
      <c r="G574" s="161">
        <f t="shared" si="67"/>
        <v>2.9536702915181459</v>
      </c>
      <c r="H574" s="161">
        <f>(Main!$B$18-Current_limit!G574)*Current_limit!G574/(Main!$B$18*loop_gain!$B$17*loop_gain!$B$18)</f>
        <v>0.32130682187615278</v>
      </c>
      <c r="I574" s="161">
        <f t="shared" si="68"/>
        <v>3.5786931781238422</v>
      </c>
      <c r="J574" s="161"/>
      <c r="K574" s="163">
        <f>IF(A574&gt;$B$15,IF(I574&gt;Helper_calcs!$B$15,23,3),0)</f>
        <v>23</v>
      </c>
      <c r="L574" s="162">
        <f t="shared" si="66"/>
        <v>2</v>
      </c>
      <c r="M574" s="162">
        <f t="shared" si="69"/>
        <v>2</v>
      </c>
      <c r="N574" s="161">
        <f t="shared" si="70"/>
        <v>3.55</v>
      </c>
      <c r="O574" s="161">
        <f t="shared" si="71"/>
        <v>2.804107424960546</v>
      </c>
      <c r="P574" s="149">
        <f>IF(OR(M574=0,M574=3),loop_gain!$B$18,IF(Current_limit!M574=1,Current_limit!$B$12/(2*(Current_limit!N574-Helper_calcs!$B$15)),IF(OR(M574=2,M574=23),(Main!$B$18-Current_limit!O574)*Current_limit!O574/(Main!$B$18*loop_gain!$B$17*(Helper_calcs!$B$14-Helper_calcs!$B$15)),x)))</f>
        <v>930240.64389638172</v>
      </c>
      <c r="Q574" s="161"/>
    </row>
    <row r="575" spans="1:17" x14ac:dyDescent="0.25">
      <c r="A575">
        <f t="shared" si="72"/>
        <v>6.3399999999999084</v>
      </c>
      <c r="B575">
        <f>Main!$B$19/A575</f>
        <v>0.78864353312303981</v>
      </c>
      <c r="D575" s="161">
        <f t="shared" si="65"/>
        <v>0.78864353312303981</v>
      </c>
      <c r="E575" s="161">
        <f>-B575*Main!$B$18-2*Main!$B$18*loop_gain!$B$17*loop_gain!$B$18</f>
        <v>-175.78372239747648</v>
      </c>
      <c r="F575" s="161">
        <f>2*Main!$B$18*loop_gain!$B$17*loop_gain!$B$18*Helper_calcs!$B$14*Current_limit!B575</f>
        <v>511.55205047319345</v>
      </c>
      <c r="G575" s="161">
        <f t="shared" si="67"/>
        <v>2.9491424119083827</v>
      </c>
      <c r="H575" s="161">
        <f>(Main!$B$18-Current_limit!G575)*Current_limit!G575/(Main!$B$18*loop_gain!$B$17*loop_gain!$B$18)</f>
        <v>0.3209748434004786</v>
      </c>
      <c r="I575" s="161">
        <f t="shared" si="68"/>
        <v>3.5790251565995357</v>
      </c>
      <c r="J575" s="161"/>
      <c r="K575" s="163">
        <f>IF(A575&gt;$B$15,IF(I575&gt;Helper_calcs!$B$15,23,3),0)</f>
        <v>23</v>
      </c>
      <c r="L575" s="162">
        <f t="shared" si="66"/>
        <v>2</v>
      </c>
      <c r="M575" s="162">
        <f t="shared" si="69"/>
        <v>2</v>
      </c>
      <c r="N575" s="161">
        <f t="shared" si="70"/>
        <v>3.55</v>
      </c>
      <c r="O575" s="161">
        <f t="shared" si="71"/>
        <v>2.7996845425867911</v>
      </c>
      <c r="P575" s="149">
        <f>IF(OR(M575=0,M575=3),loop_gain!$B$18,IF(Current_limit!M575=1,Current_limit!$B$12/(2*(Current_limit!N575-Helper_calcs!$B$15)),IF(OR(M575=2,M575=23),(Main!$B$18-Current_limit!O575)*Current_limit!O575/(Main!$B$18*loop_gain!$B$17*(Helper_calcs!$B$14-Helper_calcs!$B$15)),x)))</f>
        <v>929220.09282258642</v>
      </c>
      <c r="Q575" s="161"/>
    </row>
    <row r="576" spans="1:17" x14ac:dyDescent="0.25">
      <c r="A576">
        <f t="shared" si="72"/>
        <v>6.3499999999999082</v>
      </c>
      <c r="B576">
        <f>Main!$B$19/A576</f>
        <v>0.78740157480316098</v>
      </c>
      <c r="D576" s="161">
        <f t="shared" si="65"/>
        <v>0.78740157480316098</v>
      </c>
      <c r="E576" s="161">
        <f>-B576*Main!$B$18-2*Main!$B$18*loop_gain!$B$17*loop_gain!$B$18</f>
        <v>-175.76881889763791</v>
      </c>
      <c r="F576" s="161">
        <f>2*Main!$B$18*loop_gain!$B$17*loop_gain!$B$18*Helper_calcs!$B$14*Current_limit!B576</f>
        <v>510.74645669292067</v>
      </c>
      <c r="G576" s="161">
        <f t="shared" si="67"/>
        <v>2.9446285810290522</v>
      </c>
      <c r="H576" s="161">
        <f>(Main!$B$18-Current_limit!G576)*Current_limit!G576/(Main!$B$18*loop_gain!$B$17*loop_gain!$B$18)</f>
        <v>0.32064340418633308</v>
      </c>
      <c r="I576" s="161">
        <f t="shared" si="68"/>
        <v>3.5793565958136759</v>
      </c>
      <c r="J576" s="161"/>
      <c r="K576" s="163">
        <f>IF(A576&gt;$B$15,IF(I576&gt;Helper_calcs!$B$15,23,3),0)</f>
        <v>23</v>
      </c>
      <c r="L576" s="162">
        <f t="shared" si="66"/>
        <v>2</v>
      </c>
      <c r="M576" s="162">
        <f t="shared" si="69"/>
        <v>2</v>
      </c>
      <c r="N576" s="161">
        <f t="shared" si="70"/>
        <v>3.55</v>
      </c>
      <c r="O576" s="161">
        <f t="shared" si="71"/>
        <v>2.7952755905512214</v>
      </c>
      <c r="P576" s="149">
        <f>IF(OR(M576=0,M576=3),loop_gain!$B$18,IF(Current_limit!M576=1,Current_limit!$B$12/(2*(Current_limit!N576-Helper_calcs!$B$15)),IF(OR(M576=2,M576=23),(Main!$B$18-Current_limit!O576)*Current_limit!O576/(Main!$B$18*loop_gain!$B$17*(Helper_calcs!$B$14-Helper_calcs!$B$15)),x)))</f>
        <v>928201.35135220748</v>
      </c>
      <c r="Q576" s="161"/>
    </row>
    <row r="577" spans="1:17" x14ac:dyDescent="0.25">
      <c r="A577">
        <f t="shared" si="72"/>
        <v>6.3599999999999079</v>
      </c>
      <c r="B577">
        <f>Main!$B$19/A577</f>
        <v>0.78616352201258999</v>
      </c>
      <c r="D577" s="161">
        <f t="shared" si="65"/>
        <v>0.78616352201258999</v>
      </c>
      <c r="E577" s="161">
        <f>-B577*Main!$B$18-2*Main!$B$18*loop_gain!$B$17*loop_gain!$B$18</f>
        <v>-175.75396226415108</v>
      </c>
      <c r="F577" s="161">
        <f>2*Main!$B$18*loop_gain!$B$17*loop_gain!$B$18*Helper_calcs!$B$14*Current_limit!B577</f>
        <v>509.94339622642241</v>
      </c>
      <c r="G577" s="161">
        <f t="shared" si="67"/>
        <v>2.940128732727691</v>
      </c>
      <c r="H577" s="161">
        <f>(Main!$B$18-Current_limit!G577)*Current_limit!G577/(Main!$B$18*loop_gain!$B$17*loop_gain!$B$18)</f>
        <v>0.3203125039408532</v>
      </c>
      <c r="I577" s="161">
        <f t="shared" si="68"/>
        <v>3.5796874960591425</v>
      </c>
      <c r="J577" s="161"/>
      <c r="K577" s="163">
        <f>IF(A577&gt;$B$15,IF(I577&gt;Helper_calcs!$B$15,23,3),0)</f>
        <v>23</v>
      </c>
      <c r="L577" s="162">
        <f t="shared" si="66"/>
        <v>2</v>
      </c>
      <c r="M577" s="162">
        <f t="shared" si="69"/>
        <v>2</v>
      </c>
      <c r="N577" s="161">
        <f t="shared" si="70"/>
        <v>3.55</v>
      </c>
      <c r="O577" s="161">
        <f t="shared" si="71"/>
        <v>2.7908805031446944</v>
      </c>
      <c r="P577" s="149">
        <f>IF(OR(M577=0,M577=3),loop_gain!$B$18,IF(Current_limit!M577=1,Current_limit!$B$12/(2*(Current_limit!N577-Helper_calcs!$B$15)),IF(OR(M577=2,M577=23),(Main!$B$18-Current_limit!O577)*Current_limit!O577/(Main!$B$18*loop_gain!$B$17*(Helper_calcs!$B$14-Helper_calcs!$B$15)),x)))</f>
        <v>927184.41756504891</v>
      </c>
      <c r="Q577" s="161"/>
    </row>
    <row r="578" spans="1:17" x14ac:dyDescent="0.25">
      <c r="A578">
        <f t="shared" si="72"/>
        <v>6.3699999999999077</v>
      </c>
      <c r="B578">
        <f>Main!$B$19/A578</f>
        <v>0.78492935635793915</v>
      </c>
      <c r="D578" s="161">
        <f t="shared" si="65"/>
        <v>0.78492935635793915</v>
      </c>
      <c r="E578" s="161">
        <f>-B578*Main!$B$18-2*Main!$B$18*loop_gain!$B$17*loop_gain!$B$18</f>
        <v>-175.73915227629527</v>
      </c>
      <c r="F578" s="161">
        <f>2*Main!$B$18*loop_gain!$B$17*loop_gain!$B$18*Helper_calcs!$B$14*Current_limit!B578</f>
        <v>509.14285714286444</v>
      </c>
      <c r="G578" s="161">
        <f t="shared" si="67"/>
        <v>2.9356428012718747</v>
      </c>
      <c r="H578" s="161">
        <f>(Main!$B$18-Current_limit!G578)*Current_limit!G578/(Main!$B$18*loop_gain!$B$17*loop_gain!$B$18)</f>
        <v>0.31998214235934486</v>
      </c>
      <c r="I578" s="161">
        <f t="shared" si="68"/>
        <v>3.5800178576406418</v>
      </c>
      <c r="J578" s="161"/>
      <c r="K578" s="163">
        <f>IF(A578&gt;$B$15,IF(I578&gt;Helper_calcs!$B$15,23,3),0)</f>
        <v>23</v>
      </c>
      <c r="L578" s="162">
        <f t="shared" si="66"/>
        <v>2</v>
      </c>
      <c r="M578" s="162">
        <f t="shared" si="69"/>
        <v>2</v>
      </c>
      <c r="N578" s="161">
        <f t="shared" si="70"/>
        <v>3.55</v>
      </c>
      <c r="O578" s="161">
        <f t="shared" si="71"/>
        <v>2.786499215070684</v>
      </c>
      <c r="P578" s="149">
        <f>IF(OR(M578=0,M578=3),loop_gain!$B$18,IF(Current_limit!M578=1,Current_limit!$B$12/(2*(Current_limit!N578-Helper_calcs!$B$15)),IF(OR(M578=2,M578=23),(Main!$B$18-Current_limit!O578)*Current_limit!O578/(Main!$B$18*loop_gain!$B$17*(Helper_calcs!$B$14-Helper_calcs!$B$15)),x)))</f>
        <v>926169.28951149643</v>
      </c>
      <c r="Q578" s="161"/>
    </row>
    <row r="579" spans="1:17" x14ac:dyDescent="0.25">
      <c r="A579">
        <f t="shared" si="72"/>
        <v>6.3799999999999075</v>
      </c>
      <c r="B579">
        <f>Main!$B$19/A579</f>
        <v>0.78369905956113983</v>
      </c>
      <c r="D579" s="161">
        <f t="shared" si="65"/>
        <v>0.78369905956113983</v>
      </c>
      <c r="E579" s="161">
        <f>-B579*Main!$B$18-2*Main!$B$18*loop_gain!$B$17*loop_gain!$B$18</f>
        <v>-175.72438871473366</v>
      </c>
      <c r="F579" s="161">
        <f>2*Main!$B$18*loop_gain!$B$17*loop_gain!$B$18*Helper_calcs!$B$14*Current_limit!B579</f>
        <v>508.34482758621414</v>
      </c>
      <c r="G579" s="161">
        <f t="shared" si="67"/>
        <v>2.9311707213458607</v>
      </c>
      <c r="H579" s="161">
        <f>(Main!$B$18-Current_limit!G579)*Current_limit!G579/(Main!$B$18*loop_gain!$B$17*loop_gain!$B$18)</f>
        <v>0.31965231912548242</v>
      </c>
      <c r="I579" s="161">
        <f t="shared" si="68"/>
        <v>3.5803476808745232</v>
      </c>
      <c r="J579" s="161"/>
      <c r="K579" s="163">
        <f>IF(A579&gt;$B$15,IF(I579&gt;Helper_calcs!$B$15,23,3),0)</f>
        <v>23</v>
      </c>
      <c r="L579" s="162">
        <f t="shared" si="66"/>
        <v>2</v>
      </c>
      <c r="M579" s="162">
        <f t="shared" si="69"/>
        <v>2</v>
      </c>
      <c r="N579" s="161">
        <f t="shared" si="70"/>
        <v>3.55</v>
      </c>
      <c r="O579" s="161">
        <f t="shared" si="71"/>
        <v>2.7821316614420462</v>
      </c>
      <c r="P579" s="149">
        <f>IF(OR(M579=0,M579=3),loop_gain!$B$18,IF(Current_limit!M579=1,Current_limit!$B$12/(2*(Current_limit!N579-Helper_calcs!$B$15)),IF(OR(M579=2,M579=23),(Main!$B$18-Current_limit!O579)*Current_limit!O579/(Main!$B$18*loop_gain!$B$17*(Helper_calcs!$B$14-Helper_calcs!$B$15)),x)))</f>
        <v>925155.96521306946</v>
      </c>
      <c r="Q579" s="161"/>
    </row>
    <row r="580" spans="1:17" x14ac:dyDescent="0.25">
      <c r="A580">
        <f t="shared" si="72"/>
        <v>6.3899999999999073</v>
      </c>
      <c r="B580">
        <f>Main!$B$19/A580</f>
        <v>0.78247261345854036</v>
      </c>
      <c r="D580" s="161">
        <f t="shared" si="65"/>
        <v>0.78247261345854036</v>
      </c>
      <c r="E580" s="161">
        <f>-B580*Main!$B$18-2*Main!$B$18*loop_gain!$B$17*loop_gain!$B$18</f>
        <v>-175.70967136150247</v>
      </c>
      <c r="F580" s="161">
        <f>2*Main!$B$18*loop_gain!$B$17*loop_gain!$B$18*Helper_calcs!$B$14*Current_limit!B580</f>
        <v>507.54929577465521</v>
      </c>
      <c r="G580" s="161">
        <f t="shared" si="67"/>
        <v>2.926712428047181</v>
      </c>
      <c r="H580" s="161">
        <f>(Main!$B$18-Current_limit!G580)*Current_limit!G580/(Main!$B$18*loop_gain!$B$17*loop_gain!$B$18)</f>
        <v>0.31932303391150002</v>
      </c>
      <c r="I580" s="161">
        <f t="shared" si="68"/>
        <v>3.5806769660884927</v>
      </c>
      <c r="J580" s="161"/>
      <c r="K580" s="163">
        <f>IF(A580&gt;$B$15,IF(I580&gt;Helper_calcs!$B$15,23,3),0)</f>
        <v>23</v>
      </c>
      <c r="L580" s="162">
        <f t="shared" si="66"/>
        <v>2</v>
      </c>
      <c r="M580" s="162">
        <f t="shared" si="69"/>
        <v>2</v>
      </c>
      <c r="N580" s="161">
        <f t="shared" si="70"/>
        <v>3.55</v>
      </c>
      <c r="O580" s="161">
        <f t="shared" si="71"/>
        <v>2.7777777777778181</v>
      </c>
      <c r="P580" s="149">
        <f>IF(OR(M580=0,M580=3),loop_gain!$B$18,IF(Current_limit!M580=1,Current_limit!$B$12/(2*(Current_limit!N580-Helper_calcs!$B$15)),IF(OR(M580=2,M580=23),(Main!$B$18-Current_limit!O580)*Current_limit!O580/(Main!$B$18*loop_gain!$B$17*(Helper_calcs!$B$14-Helper_calcs!$B$15)),x)))</f>
        <v>924144.44266297098</v>
      </c>
      <c r="Q580" s="161"/>
    </row>
    <row r="581" spans="1:17" x14ac:dyDescent="0.25">
      <c r="A581">
        <f t="shared" si="72"/>
        <v>6.3999999999999071</v>
      </c>
      <c r="B581">
        <f>Main!$B$19/A581</f>
        <v>0.78125000000001132</v>
      </c>
      <c r="D581" s="161">
        <f t="shared" si="65"/>
        <v>0.78125000000001132</v>
      </c>
      <c r="E581" s="161">
        <f>-B581*Main!$B$18-2*Main!$B$18*loop_gain!$B$17*loop_gain!$B$18</f>
        <v>-175.69500000000014</v>
      </c>
      <c r="F581" s="161">
        <f>2*Main!$B$18*loop_gain!$B$17*loop_gain!$B$18*Helper_calcs!$B$14*Current_limit!B581</f>
        <v>506.7562500000073</v>
      </c>
      <c r="G581" s="161">
        <f t="shared" si="67"/>
        <v>2.9222678568834759</v>
      </c>
      <c r="H581" s="161">
        <f>(Main!$B$18-Current_limit!G581)*Current_limit!G581/(Main!$B$18*loop_gain!$B$17*loop_gain!$B$18)</f>
        <v>0.3189942863783955</v>
      </c>
      <c r="I581" s="161">
        <f t="shared" si="68"/>
        <v>3.5810057136215971</v>
      </c>
      <c r="J581" s="161"/>
      <c r="K581" s="163">
        <f>IF(A581&gt;$B$15,IF(I581&gt;Helper_calcs!$B$15,23,3),0)</f>
        <v>23</v>
      </c>
      <c r="L581" s="162">
        <f t="shared" si="66"/>
        <v>2</v>
      </c>
      <c r="M581" s="162">
        <f t="shared" si="69"/>
        <v>2</v>
      </c>
      <c r="N581" s="161">
        <f t="shared" si="70"/>
        <v>3.55</v>
      </c>
      <c r="O581" s="161">
        <f t="shared" si="71"/>
        <v>2.77343750000004</v>
      </c>
      <c r="P581" s="149">
        <f>IF(OR(M581=0,M581=3),loop_gain!$B$18,IF(Current_limit!M581=1,Current_limit!$B$12/(2*(Current_limit!N581-Helper_calcs!$B$15)),IF(OR(M581=2,M581=23),(Main!$B$18-Current_limit!O581)*Current_limit!O581/(Main!$B$18*loop_gain!$B$17*(Helper_calcs!$B$14-Helper_calcs!$B$15)),x)))</f>
        <v>923134.71982662415</v>
      </c>
      <c r="Q581" s="161"/>
    </row>
    <row r="582" spans="1:17" x14ac:dyDescent="0.25">
      <c r="A582">
        <f t="shared" si="72"/>
        <v>6.4099999999999069</v>
      </c>
      <c r="B582">
        <f>Main!$B$19/A582</f>
        <v>0.78003120124806125</v>
      </c>
      <c r="D582" s="161">
        <f t="shared" si="65"/>
        <v>0.78003120124806125</v>
      </c>
      <c r="E582" s="161">
        <f>-B582*Main!$B$18-2*Main!$B$18*loop_gain!$B$17*loop_gain!$B$18</f>
        <v>-175.68037441497674</v>
      </c>
      <c r="F582" s="161">
        <f>2*Main!$B$18*loop_gain!$B$17*loop_gain!$B$18*Helper_calcs!$B$14*Current_limit!B582</f>
        <v>505.96567862715239</v>
      </c>
      <c r="G582" s="161">
        <f t="shared" si="67"/>
        <v>2.9178369437691165</v>
      </c>
      <c r="H582" s="161">
        <f>(Main!$B$18-Current_limit!G582)*Current_limit!G582/(Main!$B$18*loop_gain!$B$17*loop_gain!$B$18)</f>
        <v>0.31866607617611226</v>
      </c>
      <c r="I582" s="161">
        <f t="shared" si="68"/>
        <v>3.5813339238238973</v>
      </c>
      <c r="J582" s="161"/>
      <c r="K582" s="163">
        <f>IF(A582&gt;$B$15,IF(I582&gt;Helper_calcs!$B$15,23,3),0)</f>
        <v>23</v>
      </c>
      <c r="L582" s="162">
        <f t="shared" si="66"/>
        <v>2</v>
      </c>
      <c r="M582" s="162">
        <f t="shared" si="69"/>
        <v>2</v>
      </c>
      <c r="N582" s="161">
        <f t="shared" si="70"/>
        <v>3.55</v>
      </c>
      <c r="O582" s="161">
        <f t="shared" si="71"/>
        <v>2.7691107644306174</v>
      </c>
      <c r="P582" s="149">
        <f>IF(OR(M582=0,M582=3),loop_gain!$B$18,IF(Current_limit!M582=1,Current_limit!$B$12/(2*(Current_limit!N582-Helper_calcs!$B$15)),IF(OR(M582=2,M582=23),(Main!$B$18-Current_limit!O582)*Current_limit!O582/(Main!$B$18*loop_gain!$B$17*(Helper_calcs!$B$14-Helper_calcs!$B$15)),x)))</f>
        <v>922126.79464220419</v>
      </c>
      <c r="Q582" s="161"/>
    </row>
    <row r="583" spans="1:17" x14ac:dyDescent="0.25">
      <c r="A583">
        <f t="shared" si="72"/>
        <v>6.4199999999999067</v>
      </c>
      <c r="B583">
        <f>Main!$B$19/A583</f>
        <v>0.77881619937695834</v>
      </c>
      <c r="D583" s="161">
        <f t="shared" si="65"/>
        <v>0.77881619937695834</v>
      </c>
      <c r="E583" s="161">
        <f>-B583*Main!$B$18-2*Main!$B$18*loop_gain!$B$17*loop_gain!$B$18</f>
        <v>-175.66579439252348</v>
      </c>
      <c r="F583" s="161">
        <f>2*Main!$B$18*loop_gain!$B$17*loop_gain!$B$18*Helper_calcs!$B$14*Current_limit!B583</f>
        <v>505.17757009346519</v>
      </c>
      <c r="G583" s="161">
        <f t="shared" si="67"/>
        <v>2.9134196250219651</v>
      </c>
      <c r="H583" s="161">
        <f>(Main!$B$18-Current_limit!G583)*Current_limit!G583/(Main!$B$18*loop_gain!$B$17*loop_gain!$B$18)</f>
        <v>0.31833840294372834</v>
      </c>
      <c r="I583" s="161">
        <f t="shared" si="68"/>
        <v>3.5816615970562848</v>
      </c>
      <c r="J583" s="161"/>
      <c r="K583" s="163">
        <f>IF(A583&gt;$B$15,IF(I583&gt;Helper_calcs!$B$15,23,3),0)</f>
        <v>23</v>
      </c>
      <c r="L583" s="162">
        <f t="shared" si="66"/>
        <v>2</v>
      </c>
      <c r="M583" s="162">
        <f t="shared" si="69"/>
        <v>2</v>
      </c>
      <c r="N583" s="161">
        <f t="shared" si="70"/>
        <v>3.55</v>
      </c>
      <c r="O583" s="161">
        <f t="shared" si="71"/>
        <v>2.7647975077882019</v>
      </c>
      <c r="P583" s="149">
        <f>IF(OR(M583=0,M583=3),loop_gain!$B$18,IF(Current_limit!M583=1,Current_limit!$B$12/(2*(Current_limit!N583-Helper_calcs!$B$15)),IF(OR(M583=2,M583=23),(Main!$B$18-Current_limit!O583)*Current_limit!O583/(Main!$B$18*loop_gain!$B$17*(Helper_calcs!$B$14-Helper_calcs!$B$15)),x)))</f>
        <v>921120.66502116085</v>
      </c>
      <c r="Q583" s="161"/>
    </row>
    <row r="584" spans="1:17" x14ac:dyDescent="0.25">
      <c r="A584">
        <f t="shared" si="72"/>
        <v>6.4299999999999065</v>
      </c>
      <c r="B584">
        <f>Main!$B$19/A584</f>
        <v>0.77760497667186201</v>
      </c>
      <c r="D584" s="161">
        <f t="shared" si="65"/>
        <v>0.77760497667186201</v>
      </c>
      <c r="E584" s="161">
        <f>-B584*Main!$B$18-2*Main!$B$18*loop_gain!$B$17*loop_gain!$B$18</f>
        <v>-175.65125972006234</v>
      </c>
      <c r="F584" s="161">
        <f>2*Main!$B$18*loop_gain!$B$17*loop_gain!$B$18*Helper_calcs!$B$14*Current_limit!B584</f>
        <v>504.39191290824988</v>
      </c>
      <c r="G584" s="161">
        <f t="shared" si="67"/>
        <v>2.9090158373602035</v>
      </c>
      <c r="H584" s="161">
        <f>(Main!$B$18-Current_limit!G584)*Current_limit!G584/(Main!$B$18*loop_gain!$B$17*loop_gain!$B$18)</f>
        <v>0.31801126630964349</v>
      </c>
      <c r="I584" s="161">
        <f t="shared" si="68"/>
        <v>3.5819887336903458</v>
      </c>
      <c r="J584" s="161"/>
      <c r="K584" s="163">
        <f>IF(A584&gt;$B$15,IF(I584&gt;Helper_calcs!$B$15,23,3),0)</f>
        <v>23</v>
      </c>
      <c r="L584" s="162">
        <f t="shared" si="66"/>
        <v>2</v>
      </c>
      <c r="M584" s="162">
        <f t="shared" si="69"/>
        <v>2</v>
      </c>
      <c r="N584" s="161">
        <f t="shared" si="70"/>
        <v>3.55</v>
      </c>
      <c r="O584" s="161">
        <f t="shared" si="71"/>
        <v>2.7604976671851098</v>
      </c>
      <c r="P584" s="149">
        <f>IF(OR(M584=0,M584=3),loop_gain!$B$18,IF(Current_limit!M584=1,Current_limit!$B$12/(2*(Current_limit!N584-Helper_calcs!$B$15)),IF(OR(M584=2,M584=23),(Main!$B$18-Current_limit!O584)*Current_limit!O584/(Main!$B$18*loop_gain!$B$17*(Helper_calcs!$B$14-Helper_calcs!$B$15)),x)))</f>
        <v>920116.32884873357</v>
      </c>
      <c r="Q584" s="161"/>
    </row>
    <row r="585" spans="1:17" x14ac:dyDescent="0.25">
      <c r="A585">
        <f t="shared" si="72"/>
        <v>6.4399999999999062</v>
      </c>
      <c r="B585">
        <f>Main!$B$19/A585</f>
        <v>0.77639751552796166</v>
      </c>
      <c r="D585" s="161">
        <f t="shared" si="65"/>
        <v>0.77639751552796166</v>
      </c>
      <c r="E585" s="161">
        <f>-B585*Main!$B$18-2*Main!$B$18*loop_gain!$B$17*loop_gain!$B$18</f>
        <v>-175.63677018633553</v>
      </c>
      <c r="F585" s="161">
        <f>2*Main!$B$18*loop_gain!$B$17*loop_gain!$B$18*Helper_calcs!$B$14*Current_limit!B585</f>
        <v>503.60869565218121</v>
      </c>
      <c r="G585" s="161">
        <f t="shared" si="67"/>
        <v>2.9046255178992086</v>
      </c>
      <c r="H585" s="161">
        <f>(Main!$B$18-Current_limit!G585)*Current_limit!G585/(Main!$B$18*loop_gain!$B$17*loop_gain!$B$18)</f>
        <v>0.31768466589176597</v>
      </c>
      <c r="I585" s="161">
        <f t="shared" si="68"/>
        <v>3.5823153341082432</v>
      </c>
      <c r="J585" s="161"/>
      <c r="K585" s="163">
        <f>IF(A585&gt;$B$15,IF(I585&gt;Helper_calcs!$B$15,23,3),0)</f>
        <v>23</v>
      </c>
      <c r="L585" s="162">
        <f t="shared" si="66"/>
        <v>2</v>
      </c>
      <c r="M585" s="162">
        <f t="shared" si="69"/>
        <v>2</v>
      </c>
      <c r="N585" s="161">
        <f t="shared" si="70"/>
        <v>3.55</v>
      </c>
      <c r="O585" s="161">
        <f t="shared" si="71"/>
        <v>2.7562111801242639</v>
      </c>
      <c r="P585" s="149">
        <f>IF(OR(M585=0,M585=3),loop_gain!$B$18,IF(Current_limit!M585=1,Current_limit!$B$12/(2*(Current_limit!N585-Helper_calcs!$B$15)),IF(OR(M585=2,M585=23),(Main!$B$18-Current_limit!O585)*Current_limit!O585/(Main!$B$18*loop_gain!$B$17*(Helper_calcs!$B$14-Helper_calcs!$B$15)),x)))</f>
        <v>919113.78398445842</v>
      </c>
      <c r="Q585" s="161"/>
    </row>
    <row r="586" spans="1:17" x14ac:dyDescent="0.25">
      <c r="A586">
        <f t="shared" si="72"/>
        <v>6.449999999999906</v>
      </c>
      <c r="B586">
        <f>Main!$B$19/A586</f>
        <v>0.77519379844962366</v>
      </c>
      <c r="D586" s="161">
        <f t="shared" si="65"/>
        <v>0.77519379844962366</v>
      </c>
      <c r="E586" s="161">
        <f>-B586*Main!$B$18-2*Main!$B$18*loop_gain!$B$17*loop_gain!$B$18</f>
        <v>-175.62232558139547</v>
      </c>
      <c r="F586" s="161">
        <f>2*Main!$B$18*loop_gain!$B$17*loop_gain!$B$18*Helper_calcs!$B$14*Current_limit!B586</f>
        <v>502.82790697675142</v>
      </c>
      <c r="G586" s="161">
        <f t="shared" si="67"/>
        <v>2.9002486041482327</v>
      </c>
      <c r="H586" s="161">
        <f>(Main!$B$18-Current_limit!G586)*Current_limit!G586/(Main!$B$18*loop_gain!$B$17*loop_gain!$B$18)</f>
        <v>0.3173586012976794</v>
      </c>
      <c r="I586" s="161">
        <f t="shared" si="68"/>
        <v>3.582641398702326</v>
      </c>
      <c r="J586" s="161"/>
      <c r="K586" s="163">
        <f>IF(A586&gt;$B$15,IF(I586&gt;Helper_calcs!$B$15,23,3),0)</f>
        <v>23</v>
      </c>
      <c r="L586" s="162">
        <f t="shared" si="66"/>
        <v>2</v>
      </c>
      <c r="M586" s="162">
        <f t="shared" si="69"/>
        <v>2</v>
      </c>
      <c r="N586" s="161">
        <f t="shared" si="70"/>
        <v>3.55</v>
      </c>
      <c r="O586" s="161">
        <f t="shared" si="71"/>
        <v>2.751937984496164</v>
      </c>
      <c r="P586" s="149">
        <f>IF(OR(M586=0,M586=3),loop_gain!$B$18,IF(Current_limit!M586=1,Current_limit!$B$12/(2*(Current_limit!N586-Helper_calcs!$B$15)),IF(OR(M586=2,M586=23),(Main!$B$18-Current_limit!O586)*Current_limit!O586/(Main!$B$18*loop_gain!$B$17*(Helper_calcs!$B$14-Helper_calcs!$B$15)),x)))</f>
        <v>918113.02826266841</v>
      </c>
      <c r="Q586" s="161"/>
    </row>
    <row r="587" spans="1:17" x14ac:dyDescent="0.25">
      <c r="A587">
        <f t="shared" si="72"/>
        <v>6.4599999999999058</v>
      </c>
      <c r="B587">
        <f>Main!$B$19/A587</f>
        <v>0.77399380804954687</v>
      </c>
      <c r="D587" s="161">
        <f t="shared" si="65"/>
        <v>0.77399380804954687</v>
      </c>
      <c r="E587" s="161">
        <f>-B587*Main!$B$18-2*Main!$B$18*loop_gain!$B$17*loop_gain!$B$18</f>
        <v>-175.60792569659455</v>
      </c>
      <c r="F587" s="161">
        <f>2*Main!$B$18*loop_gain!$B$17*loop_gain!$B$18*Helper_calcs!$B$14*Current_limit!B587</f>
        <v>502.0495356037224</v>
      </c>
      <c r="G587" s="161">
        <f t="shared" si="67"/>
        <v>2.895885034007458</v>
      </c>
      <c r="H587" s="161">
        <f>(Main!$B$18-Current_limit!G587)*Current_limit!G587/(Main!$B$18*loop_gain!$B$17*loop_gain!$B$18)</f>
        <v>0.31703307212483312</v>
      </c>
      <c r="I587" s="161">
        <f t="shared" si="68"/>
        <v>3.582966927875165</v>
      </c>
      <c r="J587" s="161"/>
      <c r="K587" s="163">
        <f>IF(A587&gt;$B$15,IF(I587&gt;Helper_calcs!$B$15,23,3),0)</f>
        <v>23</v>
      </c>
      <c r="L587" s="162">
        <f t="shared" si="66"/>
        <v>2</v>
      </c>
      <c r="M587" s="162">
        <f t="shared" si="69"/>
        <v>2</v>
      </c>
      <c r="N587" s="161">
        <f t="shared" si="70"/>
        <v>3.55</v>
      </c>
      <c r="O587" s="161">
        <f t="shared" si="71"/>
        <v>2.7476780185758911</v>
      </c>
      <c r="P587" s="149">
        <f>IF(OR(M587=0,M587=3),loop_gain!$B$18,IF(Current_limit!M587=1,Current_limit!$B$12/(2*(Current_limit!N587-Helper_calcs!$B$15)),IF(OR(M587=2,M587=23),(Main!$B$18-Current_limit!O587)*Current_limit!O587/(Main!$B$18*loop_gain!$B$17*(Helper_calcs!$B$14-Helper_calcs!$B$15)),x)))</f>
        <v>917114.05949298595</v>
      </c>
      <c r="Q587" s="161"/>
    </row>
    <row r="588" spans="1:17" x14ac:dyDescent="0.25">
      <c r="A588">
        <f t="shared" si="72"/>
        <v>6.4699999999999056</v>
      </c>
      <c r="B588">
        <f>Main!$B$19/A588</f>
        <v>0.7727975270479247</v>
      </c>
      <c r="D588" s="161">
        <f t="shared" si="65"/>
        <v>0.7727975270479247</v>
      </c>
      <c r="E588" s="161">
        <f>-B588*Main!$B$18-2*Main!$B$18*loop_gain!$B$17*loop_gain!$B$18</f>
        <v>-175.5935703245751</v>
      </c>
      <c r="F588" s="161">
        <f>2*Main!$B$18*loop_gain!$B$17*loop_gain!$B$18*Helper_calcs!$B$14*Current_limit!B588</f>
        <v>501.27357032458218</v>
      </c>
      <c r="G588" s="161">
        <f t="shared" si="67"/>
        <v>2.8915347457648286</v>
      </c>
      <c r="H588" s="161">
        <f>(Main!$B$18-Current_limit!G588)*Current_limit!G588/(Main!$B$18*loop_gain!$B$17*loop_gain!$B$18)</f>
        <v>0.31670807796071032</v>
      </c>
      <c r="I588" s="161">
        <f t="shared" si="68"/>
        <v>3.5832919220392787</v>
      </c>
      <c r="J588" s="161"/>
      <c r="K588" s="163">
        <f>IF(A588&gt;$B$15,IF(I588&gt;Helper_calcs!$B$15,23,3),0)</f>
        <v>23</v>
      </c>
      <c r="L588" s="162">
        <f t="shared" si="66"/>
        <v>2</v>
      </c>
      <c r="M588" s="162">
        <f t="shared" si="69"/>
        <v>2</v>
      </c>
      <c r="N588" s="161">
        <f t="shared" si="70"/>
        <v>3.55</v>
      </c>
      <c r="O588" s="161">
        <f t="shared" si="71"/>
        <v>2.7434312210201326</v>
      </c>
      <c r="P588" s="149">
        <f>IF(OR(M588=0,M588=3),loop_gain!$B$18,IF(Current_limit!M588=1,Current_limit!$B$12/(2*(Current_limit!N588-Helper_calcs!$B$15)),IF(OR(M588=2,M588=23),(Main!$B$18-Current_limit!O588)*Current_limit!O588/(Main!$B$18*loop_gain!$B$17*(Helper_calcs!$B$14-Helper_calcs!$B$15)),x)))</f>
        <v>916116.87546080747</v>
      </c>
      <c r="Q588" s="161"/>
    </row>
    <row r="589" spans="1:17" x14ac:dyDescent="0.25">
      <c r="A589">
        <f t="shared" si="72"/>
        <v>6.4799999999999054</v>
      </c>
      <c r="B589">
        <f>Main!$B$19/A589</f>
        <v>0.77160493827161625</v>
      </c>
      <c r="D589" s="161">
        <f t="shared" si="65"/>
        <v>0.77160493827161625</v>
      </c>
      <c r="E589" s="161">
        <f>-B589*Main!$B$18-2*Main!$B$18*loop_gain!$B$17*loop_gain!$B$18</f>
        <v>-175.5792592592594</v>
      </c>
      <c r="F589" s="161">
        <f>2*Main!$B$18*loop_gain!$B$17*loop_gain!$B$18*Helper_calcs!$B$14*Current_limit!B589</f>
        <v>500.50000000000728</v>
      </c>
      <c r="G589" s="161">
        <f t="shared" si="67"/>
        <v>2.8871976780930213</v>
      </c>
      <c r="H589" s="161">
        <f>(Main!$B$18-Current_limit!G589)*Current_limit!G589/(Main!$B$18*loop_gain!$B$17*loop_gain!$B$18)</f>
        <v>0.31638361838300294</v>
      </c>
      <c r="I589" s="161">
        <f t="shared" si="68"/>
        <v>3.5836163816169995</v>
      </c>
      <c r="J589" s="161"/>
      <c r="K589" s="163">
        <f>IF(A589&gt;$B$15,IF(I589&gt;Helper_calcs!$B$15,23,3),0)</f>
        <v>23</v>
      </c>
      <c r="L589" s="162">
        <f t="shared" si="66"/>
        <v>2</v>
      </c>
      <c r="M589" s="162">
        <f t="shared" si="69"/>
        <v>2</v>
      </c>
      <c r="N589" s="161">
        <f t="shared" si="70"/>
        <v>3.55</v>
      </c>
      <c r="O589" s="161">
        <f t="shared" si="71"/>
        <v>2.7391975308642373</v>
      </c>
      <c r="P589" s="149">
        <f>IF(OR(M589=0,M589=3),loop_gain!$B$18,IF(Current_limit!M589=1,Current_limit!$B$12/(2*(Current_limit!N589-Helper_calcs!$B$15)),IF(OR(M589=2,M589=23),(Main!$B$18-Current_limit!O589)*Current_limit!O589/(Main!$B$18*loop_gain!$B$17*(Helper_calcs!$B$14-Helper_calcs!$B$15)),x)))</f>
        <v>915121.47392778227</v>
      </c>
      <c r="Q589" s="161"/>
    </row>
    <row r="590" spans="1:17" x14ac:dyDescent="0.25">
      <c r="A590">
        <f t="shared" si="72"/>
        <v>6.4899999999999052</v>
      </c>
      <c r="B590">
        <f>Main!$B$19/A590</f>
        <v>0.77041602465332404</v>
      </c>
      <c r="D590" s="161">
        <f t="shared" si="65"/>
        <v>0.77041602465332404</v>
      </c>
      <c r="E590" s="161">
        <f>-B590*Main!$B$18-2*Main!$B$18*loop_gain!$B$17*loop_gain!$B$18</f>
        <v>-175.56499229583989</v>
      </c>
      <c r="F590" s="161">
        <f>2*Main!$B$18*loop_gain!$B$17*loop_gain!$B$18*Helper_calcs!$B$14*Current_limit!B590</f>
        <v>499.72881355932924</v>
      </c>
      <c r="G590" s="161">
        <f t="shared" si="67"/>
        <v>2.8828737700463627</v>
      </c>
      <c r="H590" s="161">
        <f>(Main!$B$18-Current_limit!G590)*Current_limit!G590/(Main!$B$18*loop_gain!$B$17*loop_gain!$B$18)</f>
        <v>0.31605969295977659</v>
      </c>
      <c r="I590" s="161">
        <f t="shared" si="68"/>
        <v>3.5839403070402356</v>
      </c>
      <c r="J590" s="161"/>
      <c r="K590" s="163">
        <f>IF(A590&gt;$B$15,IF(I590&gt;Helper_calcs!$B$15,23,3),0)</f>
        <v>23</v>
      </c>
      <c r="L590" s="162">
        <f t="shared" si="66"/>
        <v>2</v>
      </c>
      <c r="M590" s="162">
        <f t="shared" si="69"/>
        <v>2</v>
      </c>
      <c r="N590" s="161">
        <f t="shared" si="70"/>
        <v>3.55</v>
      </c>
      <c r="O590" s="161">
        <f t="shared" si="71"/>
        <v>2.7349768875193003</v>
      </c>
      <c r="P590" s="149">
        <f>IF(OR(M590=0,M590=3),loop_gain!$B$18,IF(Current_limit!M590=1,Current_limit!$B$12/(2*(Current_limit!N590-Helper_calcs!$B$15)),IF(OR(M590=2,M590=23),(Main!$B$18-Current_limit!O590)*Current_limit!O590/(Main!$B$18*loop_gain!$B$17*(Helper_calcs!$B$14-Helper_calcs!$B$15)),x)))</f>
        <v>914127.85263228195</v>
      </c>
      <c r="Q590" s="161"/>
    </row>
    <row r="591" spans="1:17" x14ac:dyDescent="0.25">
      <c r="A591">
        <f t="shared" si="72"/>
        <v>6.499999999999905</v>
      </c>
      <c r="B591">
        <f>Main!$B$19/A591</f>
        <v>0.76923076923078049</v>
      </c>
      <c r="D591" s="161">
        <f t="shared" si="65"/>
        <v>0.76923076923078049</v>
      </c>
      <c r="E591" s="161">
        <f>-B591*Main!$B$18-2*Main!$B$18*loop_gain!$B$17*loop_gain!$B$18</f>
        <v>-175.55076923076936</v>
      </c>
      <c r="F591" s="161">
        <f>2*Main!$B$18*loop_gain!$B$17*loop_gain!$B$18*Helper_calcs!$B$14*Current_limit!B591</f>
        <v>498.96000000000726</v>
      </c>
      <c r="G591" s="161">
        <f t="shared" si="67"/>
        <v>2.8785629610578685</v>
      </c>
      <c r="H591" s="161">
        <f>(Main!$B$18-Current_limit!G591)*Current_limit!G591/(Main!$B$18*loop_gain!$B$17*loop_gain!$B$18)</f>
        <v>0.31573630124964142</v>
      </c>
      <c r="I591" s="161">
        <f t="shared" si="68"/>
        <v>3.5842636987503536</v>
      </c>
      <c r="J591" s="161"/>
      <c r="K591" s="163">
        <f>IF(A591&gt;$B$15,IF(I591&gt;Helper_calcs!$B$15,23,3),0)</f>
        <v>23</v>
      </c>
      <c r="L591" s="162">
        <f t="shared" si="66"/>
        <v>2</v>
      </c>
      <c r="M591" s="162">
        <f t="shared" si="69"/>
        <v>2</v>
      </c>
      <c r="N591" s="161">
        <f t="shared" si="70"/>
        <v>3.55</v>
      </c>
      <c r="O591" s="161">
        <f t="shared" si="71"/>
        <v>2.7307692307692708</v>
      </c>
      <c r="P591" s="149">
        <f>IF(OR(M591=0,M591=3),loop_gain!$B$18,IF(Current_limit!M591=1,Current_limit!$B$12/(2*(Current_limit!N591-Helper_calcs!$B$15)),IF(OR(M591=2,M591=23),(Main!$B$18-Current_limit!O591)*Current_limit!O591/(Main!$B$18*loop_gain!$B$17*(Helper_calcs!$B$14-Helper_calcs!$B$15)),x)))</f>
        <v>913136.00928986527</v>
      </c>
      <c r="Q591" s="161"/>
    </row>
    <row r="592" spans="1:17" x14ac:dyDescent="0.25">
      <c r="A592">
        <f t="shared" si="72"/>
        <v>6.5099999999999048</v>
      </c>
      <c r="B592">
        <f>Main!$B$19/A592</f>
        <v>0.76804915514594063</v>
      </c>
      <c r="D592" s="161">
        <f t="shared" si="65"/>
        <v>0.76804915514594063</v>
      </c>
      <c r="E592" s="161">
        <f>-B592*Main!$B$18-2*Main!$B$18*loop_gain!$B$17*loop_gain!$B$18</f>
        <v>-175.53658986175128</v>
      </c>
      <c r="F592" s="161">
        <f>2*Main!$B$18*loop_gain!$B$17*loop_gain!$B$18*Helper_calcs!$B$14*Current_limit!B592</f>
        <v>498.19354838710404</v>
      </c>
      <c r="G592" s="161">
        <f t="shared" si="67"/>
        <v>2.8742651909363328</v>
      </c>
      <c r="H592" s="161">
        <f>(Main!$B$18-Current_limit!G592)*Current_limit!G592/(Main!$B$18*loop_gain!$B$17*loop_gain!$B$18)</f>
        <v>0.31541344280192063</v>
      </c>
      <c r="I592" s="161">
        <f t="shared" si="68"/>
        <v>3.5845865571980897</v>
      </c>
      <c r="J592" s="161"/>
      <c r="K592" s="163">
        <f>IF(A592&gt;$B$15,IF(I592&gt;Helper_calcs!$B$15,23,3),0)</f>
        <v>23</v>
      </c>
      <c r="L592" s="162">
        <f t="shared" si="66"/>
        <v>2</v>
      </c>
      <c r="M592" s="162">
        <f t="shared" si="69"/>
        <v>2</v>
      </c>
      <c r="N592" s="161">
        <f t="shared" si="70"/>
        <v>3.55</v>
      </c>
      <c r="O592" s="161">
        <f t="shared" si="71"/>
        <v>2.726574500768089</v>
      </c>
      <c r="P592" s="149">
        <f>IF(OR(M592=0,M592=3),loop_gain!$B$18,IF(Current_limit!M592=1,Current_limit!$B$12/(2*(Current_limit!N592-Helper_calcs!$B$15)),IF(OR(M592=2,M592=23),(Main!$B$18-Current_limit!O592)*Current_limit!O592/(Main!$B$18*loop_gain!$B$17*(Helper_calcs!$B$14-Helper_calcs!$B$15)),x)))</f>
        <v>912145.94159373455</v>
      </c>
      <c r="Q592" s="161"/>
    </row>
    <row r="593" spans="1:17" x14ac:dyDescent="0.25">
      <c r="A593">
        <f t="shared" si="72"/>
        <v>6.5199999999999045</v>
      </c>
      <c r="B593">
        <f>Main!$B$19/A593</f>
        <v>0.76687116564418301</v>
      </c>
      <c r="D593" s="161">
        <f t="shared" si="65"/>
        <v>0.76687116564418301</v>
      </c>
      <c r="E593" s="161">
        <f>-B593*Main!$B$18-2*Main!$B$18*loop_gain!$B$17*loop_gain!$B$18</f>
        <v>-175.52245398773019</v>
      </c>
      <c r="F593" s="161">
        <f>2*Main!$B$18*loop_gain!$B$17*loop_gain!$B$18*Helper_calcs!$B$14*Current_limit!B593</f>
        <v>497.42944785276796</v>
      </c>
      <c r="G593" s="161">
        <f t="shared" si="67"/>
        <v>2.8699803998632247</v>
      </c>
      <c r="H593" s="161">
        <f>(Main!$B$18-Current_limit!G593)*Current_limit!G593/(Main!$B$18*loop_gain!$B$17*loop_gain!$B$18)</f>
        <v>0.3150911171568016</v>
      </c>
      <c r="I593" s="161">
        <f t="shared" si="68"/>
        <v>3.5849088828431896</v>
      </c>
      <c r="J593" s="161"/>
      <c r="K593" s="163">
        <f>IF(A593&gt;$B$15,IF(I593&gt;Helper_calcs!$B$15,23,3),0)</f>
        <v>23</v>
      </c>
      <c r="L593" s="162">
        <f t="shared" si="66"/>
        <v>2</v>
      </c>
      <c r="M593" s="162">
        <f t="shared" si="69"/>
        <v>2</v>
      </c>
      <c r="N593" s="161">
        <f t="shared" si="70"/>
        <v>3.55</v>
      </c>
      <c r="O593" s="161">
        <f t="shared" si="71"/>
        <v>2.7223926380368497</v>
      </c>
      <c r="P593" s="149">
        <f>IF(OR(M593=0,M593=3),loop_gain!$B$18,IF(Current_limit!M593=1,Current_limit!$B$12/(2*(Current_limit!N593-Helper_calcs!$B$15)),IF(OR(M593=2,M593=23),(Main!$B$18-Current_limit!O593)*Current_limit!O593/(Main!$B$18*loop_gain!$B$17*(Helper_calcs!$B$14-Helper_calcs!$B$15)),x)))</f>
        <v>911157.6472151865</v>
      </c>
      <c r="Q593" s="161"/>
    </row>
    <row r="594" spans="1:17" x14ac:dyDescent="0.25">
      <c r="A594">
        <f t="shared" si="72"/>
        <v>6.5299999999999043</v>
      </c>
      <c r="B594">
        <f>Main!$B$19/A594</f>
        <v>0.76569678407351816</v>
      </c>
      <c r="D594" s="161">
        <f t="shared" si="65"/>
        <v>0.76569678407351816</v>
      </c>
      <c r="E594" s="161">
        <f>-B594*Main!$B$18-2*Main!$B$18*loop_gain!$B$17*loop_gain!$B$18</f>
        <v>-175.50836140888222</v>
      </c>
      <c r="F594" s="161">
        <f>2*Main!$B$18*loop_gain!$B$17*loop_gain!$B$18*Helper_calcs!$B$14*Current_limit!B594</f>
        <v>496.66768759571931</v>
      </c>
      <c r="G594" s="161">
        <f t="shared" si="67"/>
        <v>2.8657085283899697</v>
      </c>
      <c r="H594" s="161">
        <f>(Main!$B$18-Current_limit!G594)*Current_limit!G594/(Main!$B$18*loop_gain!$B$17*loop_gain!$B$18)</f>
        <v>0.31476932384551026</v>
      </c>
      <c r="I594" s="161">
        <f t="shared" si="68"/>
        <v>3.5852306761544903</v>
      </c>
      <c r="J594" s="161"/>
      <c r="K594" s="163">
        <f>IF(A594&gt;$B$15,IF(I594&gt;Helper_calcs!$B$15,23,3),0)</f>
        <v>23</v>
      </c>
      <c r="L594" s="162">
        <f t="shared" si="66"/>
        <v>2</v>
      </c>
      <c r="M594" s="162">
        <f t="shared" si="69"/>
        <v>2</v>
      </c>
      <c r="N594" s="161">
        <f t="shared" si="70"/>
        <v>3.55</v>
      </c>
      <c r="O594" s="161">
        <f t="shared" si="71"/>
        <v>2.7182235834609894</v>
      </c>
      <c r="P594" s="149">
        <f>IF(OR(M594=0,M594=3),loop_gain!$B$18,IF(Current_limit!M594=1,Current_limit!$B$12/(2*(Current_limit!N594-Helper_calcs!$B$15)),IF(OR(M594=2,M594=23),(Main!$B$18-Current_limit!O594)*Current_limit!O594/(Main!$B$18*loop_gain!$B$17*(Helper_calcs!$B$14-Helper_calcs!$B$15)),x)))</f>
        <v>910171.12380405411</v>
      </c>
      <c r="Q594" s="161"/>
    </row>
    <row r="595" spans="1:17" x14ac:dyDescent="0.25">
      <c r="A595">
        <f t="shared" si="72"/>
        <v>6.5399999999999041</v>
      </c>
      <c r="B595">
        <f>Main!$B$19/A595</f>
        <v>0.76452599388380327</v>
      </c>
      <c r="D595" s="161">
        <f t="shared" si="65"/>
        <v>0.76452599388380327</v>
      </c>
      <c r="E595" s="161">
        <f>-B595*Main!$B$18-2*Main!$B$18*loop_gain!$B$17*loop_gain!$B$18</f>
        <v>-175.49431192660563</v>
      </c>
      <c r="F595" s="161">
        <f>2*Main!$B$18*loop_gain!$B$17*loop_gain!$B$18*Helper_calcs!$B$14*Current_limit!B595</f>
        <v>495.90825688074113</v>
      </c>
      <c r="G595" s="161">
        <f t="shared" si="67"/>
        <v>2.8614495174348828</v>
      </c>
      <c r="H595" s="161">
        <f>(Main!$B$18-Current_limit!G595)*Current_limit!G595/(Main!$B$18*loop_gain!$B$17*loop_gain!$B$18)</f>
        <v>0.31444806239045542</v>
      </c>
      <c r="I595" s="161">
        <f t="shared" si="68"/>
        <v>3.5855519376095444</v>
      </c>
      <c r="J595" s="161"/>
      <c r="K595" s="163">
        <f>IF(A595&gt;$B$15,IF(I595&gt;Helper_calcs!$B$15,23,3),0)</f>
        <v>23</v>
      </c>
      <c r="L595" s="162">
        <f t="shared" si="66"/>
        <v>2</v>
      </c>
      <c r="M595" s="162">
        <f t="shared" si="69"/>
        <v>2</v>
      </c>
      <c r="N595" s="161">
        <f t="shared" si="70"/>
        <v>3.55</v>
      </c>
      <c r="O595" s="161">
        <f t="shared" si="71"/>
        <v>2.7140672782875015</v>
      </c>
      <c r="P595" s="149">
        <f>IF(OR(M595=0,M595=3),loop_gain!$B$18,IF(Current_limit!M595=1,Current_limit!$B$12/(2*(Current_limit!N595-Helper_calcs!$B$15)),IF(OR(M595=2,M595=23),(Main!$B$18-Current_limit!O595)*Current_limit!O595/(Main!$B$18*loop_gain!$B$17*(Helper_calcs!$B$14-Helper_calcs!$B$15)),x)))</f>
        <v>909186.36898914515</v>
      </c>
      <c r="Q595" s="161"/>
    </row>
    <row r="596" spans="1:17" x14ac:dyDescent="0.25">
      <c r="A596">
        <f t="shared" si="72"/>
        <v>6.5499999999999039</v>
      </c>
      <c r="B596">
        <f>Main!$B$19/A596</f>
        <v>0.76335877862596535</v>
      </c>
      <c r="D596" s="161">
        <f t="shared" si="65"/>
        <v>0.76335877862596535</v>
      </c>
      <c r="E596" s="161">
        <f>-B596*Main!$B$18-2*Main!$B$18*loop_gain!$B$17*loop_gain!$B$18</f>
        <v>-175.48030534351159</v>
      </c>
      <c r="F596" s="161">
        <f>2*Main!$B$18*loop_gain!$B$17*loop_gain!$B$18*Helper_calcs!$B$14*Current_limit!B596</f>
        <v>495.15114503817512</v>
      </c>
      <c r="G596" s="161">
        <f t="shared" si="67"/>
        <v>2.8572033082804267</v>
      </c>
      <c r="H596" s="161">
        <f>(Main!$B$18-Current_limit!G596)*Current_limit!G596/(Main!$B$18*loop_gain!$B$17*loop_gain!$B$18)</f>
        <v>0.31412733230539325</v>
      </c>
      <c r="I596" s="161">
        <f t="shared" si="68"/>
        <v>3.5858726676946078</v>
      </c>
      <c r="J596" s="161"/>
      <c r="K596" s="163">
        <f>IF(A596&gt;$B$15,IF(I596&gt;Helper_calcs!$B$15,23,3),0)</f>
        <v>23</v>
      </c>
      <c r="L596" s="162">
        <f t="shared" si="66"/>
        <v>2</v>
      </c>
      <c r="M596" s="162">
        <f t="shared" si="69"/>
        <v>2</v>
      </c>
      <c r="N596" s="161">
        <f t="shared" si="70"/>
        <v>3.55</v>
      </c>
      <c r="O596" s="161">
        <f t="shared" si="71"/>
        <v>2.7099236641221767</v>
      </c>
      <c r="P596" s="149">
        <f>IF(OR(M596=0,M596=3),loop_gain!$B$18,IF(Current_limit!M596=1,Current_limit!$B$12/(2*(Current_limit!N596-Helper_calcs!$B$15)),IF(OR(M596=2,M596=23),(Main!$B$18-Current_limit!O596)*Current_limit!O596/(Main!$B$18*loop_gain!$B$17*(Helper_calcs!$B$14-Helper_calcs!$B$15)),x)))</f>
        <v>908203.38037867134</v>
      </c>
      <c r="Q596" s="161"/>
    </row>
    <row r="597" spans="1:17" x14ac:dyDescent="0.25">
      <c r="A597">
        <f t="shared" si="72"/>
        <v>6.5599999999999037</v>
      </c>
      <c r="B597">
        <f>Main!$B$19/A597</f>
        <v>0.76219512195123074</v>
      </c>
      <c r="D597" s="161">
        <f t="shared" si="65"/>
        <v>0.76219512195123074</v>
      </c>
      <c r="E597" s="161">
        <f>-B597*Main!$B$18-2*Main!$B$18*loop_gain!$B$17*loop_gain!$B$18</f>
        <v>-175.46634146341475</v>
      </c>
      <c r="F597" s="161">
        <f>2*Main!$B$18*loop_gain!$B$17*loop_gain!$B$18*Helper_calcs!$B$14*Current_limit!B597</f>
        <v>494.39634146342183</v>
      </c>
      <c r="G597" s="161">
        <f t="shared" si="67"/>
        <v>2.8529698425703174</v>
      </c>
      <c r="H597" s="161">
        <f>(Main!$B$18-Current_limit!G597)*Current_limit!G597/(Main!$B$18*loop_gain!$B$17*loop_gain!$B$18)</f>
        <v>0.31380713309557612</v>
      </c>
      <c r="I597" s="161">
        <f t="shared" si="68"/>
        <v>3.5861928669044132</v>
      </c>
      <c r="J597" s="161"/>
      <c r="K597" s="163">
        <f>IF(A597&gt;$B$15,IF(I597&gt;Helper_calcs!$B$15,23,3),0)</f>
        <v>23</v>
      </c>
      <c r="L597" s="162">
        <f t="shared" si="66"/>
        <v>2</v>
      </c>
      <c r="M597" s="162">
        <f t="shared" si="69"/>
        <v>2</v>
      </c>
      <c r="N597" s="161">
        <f t="shared" si="70"/>
        <v>3.55</v>
      </c>
      <c r="O597" s="161">
        <f t="shared" si="71"/>
        <v>2.705792682926869</v>
      </c>
      <c r="P597" s="149">
        <f>IF(OR(M597=0,M597=3),loop_gain!$B$18,IF(Current_limit!M597=1,Current_limit!$B$12/(2*(Current_limit!N597-Helper_calcs!$B$15)),IF(OR(M597=2,M597=23),(Main!$B$18-Current_limit!O597)*Current_limit!O597/(Main!$B$18*loop_gain!$B$17*(Helper_calcs!$B$14-Helper_calcs!$B$15)),x)))</f>
        <v>907222.15556067298</v>
      </c>
      <c r="Q597" s="161"/>
    </row>
    <row r="598" spans="1:17" x14ac:dyDescent="0.25">
      <c r="A598">
        <f t="shared" si="72"/>
        <v>6.5699999999999035</v>
      </c>
      <c r="B598">
        <f>Main!$B$19/A598</f>
        <v>0.76103500761036125</v>
      </c>
      <c r="D598" s="161">
        <f t="shared" si="65"/>
        <v>0.76103500761036125</v>
      </c>
      <c r="E598" s="161">
        <f>-B598*Main!$B$18-2*Main!$B$18*loop_gain!$B$17*loop_gain!$B$18</f>
        <v>-175.45242009132431</v>
      </c>
      <c r="F598" s="161">
        <f>2*Main!$B$18*loop_gain!$B$17*loop_gain!$B$18*Helper_calcs!$B$14*Current_limit!B598</f>
        <v>493.64383561644553</v>
      </c>
      <c r="G598" s="161">
        <f t="shared" si="67"/>
        <v>2.8487490623067737</v>
      </c>
      <c r="H598" s="161">
        <f>(Main!$B$18-Current_limit!G598)*Current_limit!G598/(Main!$B$18*loop_gain!$B$17*loop_gain!$B$18)</f>
        <v>0.31348746425790724</v>
      </c>
      <c r="I598" s="161">
        <f t="shared" si="68"/>
        <v>3.5865125357420924</v>
      </c>
      <c r="J598" s="161"/>
      <c r="K598" s="163">
        <f>IF(A598&gt;$B$15,IF(I598&gt;Helper_calcs!$B$15,23,3),0)</f>
        <v>23</v>
      </c>
      <c r="L598" s="162">
        <f t="shared" si="66"/>
        <v>2</v>
      </c>
      <c r="M598" s="162">
        <f t="shared" si="69"/>
        <v>2</v>
      </c>
      <c r="N598" s="161">
        <f t="shared" si="70"/>
        <v>3.55</v>
      </c>
      <c r="O598" s="161">
        <f t="shared" si="71"/>
        <v>2.7016742770167821</v>
      </c>
      <c r="P598" s="149">
        <f>IF(OR(M598=0,M598=3),loop_gain!$B$18,IF(Current_limit!M598=1,Current_limit!$B$12/(2*(Current_limit!N598-Helper_calcs!$B$15)),IF(OR(M598=2,M598=23),(Main!$B$18-Current_limit!O598)*Current_limit!O598/(Main!$B$18*loop_gain!$B$17*(Helper_calcs!$B$14-Helper_calcs!$B$15)),x)))</f>
        <v>906242.69210343598</v>
      </c>
      <c r="Q598" s="161"/>
    </row>
    <row r="599" spans="1:17" x14ac:dyDescent="0.25">
      <c r="A599">
        <f t="shared" si="72"/>
        <v>6.5799999999999033</v>
      </c>
      <c r="B599">
        <f>Main!$B$19/A599</f>
        <v>0.75987841945289869</v>
      </c>
      <c r="D599" s="161">
        <f t="shared" ref="D599:D641" si="73">B599</f>
        <v>0.75987841945289869</v>
      </c>
      <c r="E599" s="161">
        <f>-B599*Main!$B$18-2*Main!$B$18*loop_gain!$B$17*loop_gain!$B$18</f>
        <v>-175.43854103343477</v>
      </c>
      <c r="F599" s="161">
        <f>2*Main!$B$18*loop_gain!$B$17*loop_gain!$B$18*Helper_calcs!$B$14*Current_limit!B599</f>
        <v>492.89361702128377</v>
      </c>
      <c r="G599" s="161">
        <f t="shared" si="67"/>
        <v>2.8445409098476468</v>
      </c>
      <c r="H599" s="161">
        <f>(Main!$B$18-Current_limit!G599)*Current_limit!G599/(Main!$B$18*loop_gain!$B$17*loop_gain!$B$18)</f>
        <v>0.31316832528108329</v>
      </c>
      <c r="I599" s="161">
        <f t="shared" si="68"/>
        <v>3.5868316747189066</v>
      </c>
      <c r="J599" s="161"/>
      <c r="K599" s="163">
        <f>IF(A599&gt;$B$15,IF(I599&gt;Helper_calcs!$B$15,23,3),0)</f>
        <v>23</v>
      </c>
      <c r="L599" s="162">
        <f t="shared" ref="L599:L643" si="74">IF(A599&gt;$B$13,IF(A599&gt;$B$14,2,1),0)</f>
        <v>2</v>
      </c>
      <c r="M599" s="162">
        <f t="shared" si="69"/>
        <v>2</v>
      </c>
      <c r="N599" s="161">
        <f t="shared" si="70"/>
        <v>3.55</v>
      </c>
      <c r="O599" s="161">
        <f t="shared" si="71"/>
        <v>2.6975683890577904</v>
      </c>
      <c r="P599" s="149">
        <f>IF(OR(M599=0,M599=3),loop_gain!$B$18,IF(Current_limit!M599=1,Current_limit!$B$12/(2*(Current_limit!N599-Helper_calcs!$B$15)),IF(OR(M599=2,M599=23),(Main!$B$18-Current_limit!O599)*Current_limit!O599/(Main!$B$18*loop_gain!$B$17*(Helper_calcs!$B$14-Helper_calcs!$B$15)),x)))</f>
        <v>905264.98755590373</v>
      </c>
      <c r="Q599" s="161"/>
    </row>
    <row r="600" spans="1:17" x14ac:dyDescent="0.25">
      <c r="A600">
        <f t="shared" si="72"/>
        <v>6.589999999999903</v>
      </c>
      <c r="B600">
        <f>Main!$B$19/A600</f>
        <v>0.75872534142641479</v>
      </c>
      <c r="D600" s="161">
        <f t="shared" si="73"/>
        <v>0.75872534142641479</v>
      </c>
      <c r="E600" s="161">
        <f>-B600*Main!$B$18-2*Main!$B$18*loop_gain!$B$17*loop_gain!$B$18</f>
        <v>-175.42470409711697</v>
      </c>
      <c r="F600" s="161">
        <f>2*Main!$B$18*loop_gain!$B$17*loop_gain!$B$18*Helper_calcs!$B$14*Current_limit!B600</f>
        <v>492.14567526556101</v>
      </c>
      <c r="G600" s="161">
        <f t="shared" ref="G600:G641" si="75">(-E600-SQRT(E600^2-4*D600*F600))/(2*D600)</f>
        <v>2.8403453279037802</v>
      </c>
      <c r="H600" s="161">
        <f>(Main!$B$18-Current_limit!G600)*Current_limit!G600/(Main!$B$18*loop_gain!$B$17*loop_gain!$B$18)</f>
        <v>0.31284971564574954</v>
      </c>
      <c r="I600" s="161">
        <f t="shared" ref="I600:I641" si="76">(G600/B600)-0.5*H600</f>
        <v>3.5871502843542524</v>
      </c>
      <c r="J600" s="161"/>
      <c r="K600" s="163">
        <f>IF(A600&gt;$B$15,IF(I600&gt;Helper_calcs!$B$15,23,3),0)</f>
        <v>23</v>
      </c>
      <c r="L600" s="162">
        <f t="shared" si="74"/>
        <v>2</v>
      </c>
      <c r="M600" s="162">
        <f t="shared" ref="M600:M643" si="77">IF($B$16="N",L600,K600)</f>
        <v>2</v>
      </c>
      <c r="N600" s="161">
        <f t="shared" ref="N600:N641" si="78">IF(OR(M600=0,M600=1),A600,IF(OR(M600=2,M600=23),$B$14,G600/B600))</f>
        <v>3.55</v>
      </c>
      <c r="O600" s="161">
        <f t="shared" ref="O600:O641" si="79">N600*B600</f>
        <v>2.6934749620637723</v>
      </c>
      <c r="P600" s="149">
        <f>IF(OR(M600=0,M600=3),loop_gain!$B$18,IF(Current_limit!M600=1,Current_limit!$B$12/(2*(Current_limit!N600-Helper_calcs!$B$15)),IF(OR(M600=2,M600=23),(Main!$B$18-Current_limit!O600)*Current_limit!O600/(Main!$B$18*loop_gain!$B$17*(Helper_calcs!$B$14-Helper_calcs!$B$15)),x)))</f>
        <v>904289.0394480821</v>
      </c>
      <c r="Q600" s="161"/>
    </row>
    <row r="601" spans="1:17" x14ac:dyDescent="0.25">
      <c r="A601">
        <f t="shared" si="72"/>
        <v>6.5999999999999028</v>
      </c>
      <c r="B601">
        <f>Main!$B$19/A601</f>
        <v>0.75757575757576878</v>
      </c>
      <c r="D601" s="161">
        <f t="shared" si="73"/>
        <v>0.75757575757576878</v>
      </c>
      <c r="E601" s="161">
        <f>-B601*Main!$B$18-2*Main!$B$18*loop_gain!$B$17*loop_gain!$B$18</f>
        <v>-175.41090909090923</v>
      </c>
      <c r="F601" s="161">
        <f>2*Main!$B$18*loop_gain!$B$17*loop_gain!$B$18*Helper_calcs!$B$14*Current_limit!B601</f>
        <v>491.4000000000072</v>
      </c>
      <c r="G601" s="161">
        <f t="shared" si="75"/>
        <v>2.8361622595361604</v>
      </c>
      <c r="H601" s="161">
        <f>(Main!$B$18-Current_limit!G601)*Current_limit!G601/(Main!$B$18*loop_gain!$B$17*loop_gain!$B$18)</f>
        <v>0.31253163482463525</v>
      </c>
      <c r="I601" s="161">
        <f t="shared" si="76"/>
        <v>3.5874683651753587</v>
      </c>
      <c r="J601" s="161"/>
      <c r="K601" s="163">
        <f>IF(A601&gt;$B$15,IF(I601&gt;Helper_calcs!$B$15,23,3),0)</f>
        <v>23</v>
      </c>
      <c r="L601" s="162">
        <f t="shared" si="74"/>
        <v>2</v>
      </c>
      <c r="M601" s="162">
        <f t="shared" si="77"/>
        <v>2</v>
      </c>
      <c r="N601" s="161">
        <f t="shared" si="78"/>
        <v>3.55</v>
      </c>
      <c r="O601" s="161">
        <f t="shared" si="79"/>
        <v>2.689393939393979</v>
      </c>
      <c r="P601" s="149">
        <f>IF(OR(M601=0,M601=3),loop_gain!$B$18,IF(Current_limit!M601=1,Current_limit!$B$12/(2*(Current_limit!N601-Helper_calcs!$B$15)),IF(OR(M601=2,M601=23),(Main!$B$18-Current_limit!O601)*Current_limit!O601/(Main!$B$18*loop_gain!$B$17*(Helper_calcs!$B$14-Helper_calcs!$B$15)),x)))</f>
        <v>903314.84529143921</v>
      </c>
      <c r="Q601" s="161"/>
    </row>
    <row r="602" spans="1:17" x14ac:dyDescent="0.25">
      <c r="A602">
        <f t="shared" si="72"/>
        <v>6.6099999999999026</v>
      </c>
      <c r="B602">
        <f>Main!$B$19/A602</f>
        <v>0.75642965204237123</v>
      </c>
      <c r="D602" s="161">
        <f t="shared" si="73"/>
        <v>0.75642965204237123</v>
      </c>
      <c r="E602" s="161">
        <f>-B602*Main!$B$18-2*Main!$B$18*loop_gain!$B$17*loop_gain!$B$18</f>
        <v>-175.39715582450845</v>
      </c>
      <c r="F602" s="161">
        <f>2*Main!$B$18*loop_gain!$B$17*loop_gain!$B$18*Helper_calcs!$B$14*Current_limit!B602</f>
        <v>490.65658093797992</v>
      </c>
      <c r="G602" s="161">
        <f t="shared" si="75"/>
        <v>2.8319916481533332</v>
      </c>
      <c r="H602" s="161">
        <f>(Main!$B$18-Current_limit!G602)*Current_limit!G602/(Main!$B$18*loop_gain!$B$17*loop_gain!$B$18)</f>
        <v>0.3122140822827052</v>
      </c>
      <c r="I602" s="161">
        <f t="shared" si="76"/>
        <v>3.5877859177172988</v>
      </c>
      <c r="J602" s="161"/>
      <c r="K602" s="163">
        <f>IF(A602&gt;$B$15,IF(I602&gt;Helper_calcs!$B$15,23,3),0)</f>
        <v>23</v>
      </c>
      <c r="L602" s="162">
        <f t="shared" si="74"/>
        <v>2</v>
      </c>
      <c r="M602" s="162">
        <f t="shared" si="77"/>
        <v>2</v>
      </c>
      <c r="N602" s="161">
        <f t="shared" si="78"/>
        <v>3.55</v>
      </c>
      <c r="O602" s="161">
        <f t="shared" si="79"/>
        <v>2.6853252647504178</v>
      </c>
      <c r="P602" s="149">
        <f>IF(OR(M602=0,M602=3),loop_gain!$B$18,IF(Current_limit!M602=1,Current_limit!$B$12/(2*(Current_limit!N602-Helper_calcs!$B$15)),IF(OR(M602=2,M602=23),(Main!$B$18-Current_limit!O602)*Current_limit!O602/(Main!$B$18*loop_gain!$B$17*(Helper_calcs!$B$14-Helper_calcs!$B$15)),x)))</f>
        <v>902342.40257929731</v>
      </c>
      <c r="Q602" s="161"/>
    </row>
    <row r="603" spans="1:17" x14ac:dyDescent="0.25">
      <c r="A603">
        <f t="shared" si="72"/>
        <v>6.6199999999999024</v>
      </c>
      <c r="B603">
        <f>Main!$B$19/A603</f>
        <v>0.75528700906345525</v>
      </c>
      <c r="D603" s="161">
        <f t="shared" si="73"/>
        <v>0.75528700906345525</v>
      </c>
      <c r="E603" s="161">
        <f>-B603*Main!$B$18-2*Main!$B$18*loop_gain!$B$17*loop_gain!$B$18</f>
        <v>-175.38344410876147</v>
      </c>
      <c r="F603" s="161">
        <f>2*Main!$B$18*loop_gain!$B$17*loop_gain!$B$18*Helper_calcs!$B$14*Current_limit!B603</f>
        <v>489.91540785499205</v>
      </c>
      <c r="G603" s="161">
        <f t="shared" si="75"/>
        <v>2.8278334375086169</v>
      </c>
      <c r="H603" s="161">
        <f>(Main!$B$18-Current_limit!G603)*Current_limit!G603/(Main!$B$18*loop_gain!$B$17*loop_gain!$B$18)</f>
        <v>0.31189705747729202</v>
      </c>
      <c r="I603" s="161">
        <f t="shared" si="76"/>
        <v>3.5881029425227076</v>
      </c>
      <c r="J603" s="161"/>
      <c r="K603" s="163">
        <f>IF(A603&gt;$B$15,IF(I603&gt;Helper_calcs!$B$15,23,3),0)</f>
        <v>23</v>
      </c>
      <c r="L603" s="162">
        <f t="shared" si="74"/>
        <v>2</v>
      </c>
      <c r="M603" s="162">
        <f t="shared" si="77"/>
        <v>2</v>
      </c>
      <c r="N603" s="161">
        <f t="shared" si="78"/>
        <v>3.55</v>
      </c>
      <c r="O603" s="161">
        <f t="shared" si="79"/>
        <v>2.6812688821752659</v>
      </c>
      <c r="P603" s="149">
        <f>IF(OR(M603=0,M603=3),loop_gain!$B$18,IF(Current_limit!M603=1,Current_limit!$B$12/(2*(Current_limit!N603-Helper_calcs!$B$15)),IF(OR(M603=2,M603=23),(Main!$B$18-Current_limit!O603)*Current_limit!O603/(Main!$B$18*loop_gain!$B$17*(Helper_calcs!$B$14-Helper_calcs!$B$15)),x)))</f>
        <v>901371.70878722228</v>
      </c>
      <c r="Q603" s="161"/>
    </row>
    <row r="604" spans="1:17" x14ac:dyDescent="0.25">
      <c r="A604">
        <f t="shared" si="72"/>
        <v>6.6299999999999022</v>
      </c>
      <c r="B604">
        <f>Main!$B$19/A604</f>
        <v>0.75414781297135347</v>
      </c>
      <c r="D604" s="161">
        <f t="shared" si="73"/>
        <v>0.75414781297135347</v>
      </c>
      <c r="E604" s="161">
        <f>-B604*Main!$B$18-2*Main!$B$18*loop_gain!$B$17*loop_gain!$B$18</f>
        <v>-175.36977375565624</v>
      </c>
      <c r="F604" s="161">
        <f>2*Main!$B$18*loop_gain!$B$17*loop_gain!$B$18*Helper_calcs!$B$14*Current_limit!B604</f>
        <v>489.17647058824241</v>
      </c>
      <c r="G604" s="161">
        <f t="shared" si="75"/>
        <v>2.8236875716975312</v>
      </c>
      <c r="H604" s="161">
        <f>(Main!$B$18-Current_limit!G604)*Current_limit!G604/(Main!$B$18*loop_gain!$B$17*loop_gain!$B$18)</f>
        <v>0.3115805598582404</v>
      </c>
      <c r="I604" s="161">
        <f t="shared" si="76"/>
        <v>3.5884194401417506</v>
      </c>
      <c r="J604" s="161"/>
      <c r="K604" s="163">
        <f>IF(A604&gt;$B$15,IF(I604&gt;Helper_calcs!$B$15,23,3),0)</f>
        <v>23</v>
      </c>
      <c r="L604" s="162">
        <f t="shared" si="74"/>
        <v>2</v>
      </c>
      <c r="M604" s="162">
        <f t="shared" si="77"/>
        <v>2</v>
      </c>
      <c r="N604" s="161">
        <f t="shared" si="78"/>
        <v>3.55</v>
      </c>
      <c r="O604" s="161">
        <f t="shared" si="79"/>
        <v>2.6772247360483048</v>
      </c>
      <c r="P604" s="149">
        <f>IF(OR(M604=0,M604=3),loop_gain!$B$18,IF(Current_limit!M604=1,Current_limit!$B$12/(2*(Current_limit!N604-Helper_calcs!$B$15)),IF(OR(M604=2,M604=23),(Main!$B$18-Current_limit!O604)*Current_limit!O604/(Main!$B$18*loop_gain!$B$17*(Helper_calcs!$B$14-Helper_calcs!$B$15)),x)))</f>
        <v>900402.7613734036</v>
      </c>
      <c r="Q604" s="161"/>
    </row>
    <row r="605" spans="1:17" x14ac:dyDescent="0.25">
      <c r="A605">
        <f t="shared" si="72"/>
        <v>6.639999999999902</v>
      </c>
      <c r="B605">
        <f>Main!$B$19/A605</f>
        <v>0.75301204819278222</v>
      </c>
      <c r="D605" s="161">
        <f t="shared" si="73"/>
        <v>0.75301204819278222</v>
      </c>
      <c r="E605" s="161">
        <f>-B605*Main!$B$18-2*Main!$B$18*loop_gain!$B$17*loop_gain!$B$18</f>
        <v>-175.35614457831338</v>
      </c>
      <c r="F605" s="161">
        <f>2*Main!$B$18*loop_gain!$B$17*loop_gain!$B$18*Helper_calcs!$B$14*Current_limit!B605</f>
        <v>488.43975903615171</v>
      </c>
      <c r="G605" s="161">
        <f t="shared" si="75"/>
        <v>2.8195539951551365</v>
      </c>
      <c r="H605" s="161">
        <f>(Main!$B$18-Current_limit!G605)*Current_limit!G605/(Main!$B$18*loop_gain!$B$17*loop_gain!$B$18)</f>
        <v>0.3112645888680417</v>
      </c>
      <c r="I605" s="161">
        <f t="shared" si="76"/>
        <v>3.5887354111319447</v>
      </c>
      <c r="J605" s="161"/>
      <c r="K605" s="163">
        <f>IF(A605&gt;$B$15,IF(I605&gt;Helper_calcs!$B$15,23,3),0)</f>
        <v>23</v>
      </c>
      <c r="L605" s="162">
        <f t="shared" si="74"/>
        <v>2</v>
      </c>
      <c r="M605" s="162">
        <f t="shared" si="77"/>
        <v>2</v>
      </c>
      <c r="N605" s="161">
        <f t="shared" si="78"/>
        <v>3.55</v>
      </c>
      <c r="O605" s="161">
        <f t="shared" si="79"/>
        <v>2.6731927710843766</v>
      </c>
      <c r="P605" s="149">
        <f>IF(OR(M605=0,M605=3),loop_gain!$B$18,IF(Current_limit!M605=1,Current_limit!$B$12/(2*(Current_limit!N605-Helper_calcs!$B$15)),IF(OR(M605=2,M605=23),(Main!$B$18-Current_limit!O605)*Current_limit!O605/(Main!$B$18*loop_gain!$B$17*(Helper_calcs!$B$14-Helper_calcs!$B$15)),x)))</f>
        <v>899435.55777903169</v>
      </c>
      <c r="Q605" s="161"/>
    </row>
    <row r="606" spans="1:17" x14ac:dyDescent="0.25">
      <c r="A606">
        <f t="shared" si="72"/>
        <v>6.6499999999999018</v>
      </c>
      <c r="B606">
        <f>Main!$B$19/A606</f>
        <v>0.75187969924813136</v>
      </c>
      <c r="D606" s="161">
        <f t="shared" si="73"/>
        <v>0.75187969924813136</v>
      </c>
      <c r="E606" s="161">
        <f>-B606*Main!$B$18-2*Main!$B$18*loop_gain!$B$17*loop_gain!$B$18</f>
        <v>-175.34255639097756</v>
      </c>
      <c r="F606" s="161">
        <f>2*Main!$B$18*loop_gain!$B$17*loop_gain!$B$18*Helper_calcs!$B$14*Current_limit!B606</f>
        <v>487.70526315790187</v>
      </c>
      <c r="G606" s="161">
        <f t="shared" si="75"/>
        <v>2.8154326526534446</v>
      </c>
      <c r="H606" s="161">
        <f>(Main!$B$18-Current_limit!G606)*Current_limit!G606/(Main!$B$18*loop_gain!$B$17*loop_gain!$B$18)</f>
        <v>0.31094914394196876</v>
      </c>
      <c r="I606" s="161">
        <f t="shared" si="76"/>
        <v>3.5890508560580421</v>
      </c>
      <c r="J606" s="161"/>
      <c r="K606" s="163">
        <f>IF(A606&gt;$B$15,IF(I606&gt;Helper_calcs!$B$15,23,3),0)</f>
        <v>23</v>
      </c>
      <c r="L606" s="162">
        <f t="shared" si="74"/>
        <v>2</v>
      </c>
      <c r="M606" s="162">
        <f t="shared" si="77"/>
        <v>2</v>
      </c>
      <c r="N606" s="161">
        <f t="shared" si="78"/>
        <v>3.55</v>
      </c>
      <c r="O606" s="161">
        <f t="shared" si="79"/>
        <v>2.6691729323308664</v>
      </c>
      <c r="P606" s="149">
        <f>IF(OR(M606=0,M606=3),loop_gain!$B$18,IF(Current_limit!M606=1,Current_limit!$B$12/(2*(Current_limit!N606-Helper_calcs!$B$15)),IF(OR(M606=2,M606=23),(Main!$B$18-Current_limit!O606)*Current_limit!O606/(Main!$B$18*loop_gain!$B$17*(Helper_calcs!$B$14-Helper_calcs!$B$15)),x)))</f>
        <v>898470.09542866703</v>
      </c>
      <c r="Q606" s="161"/>
    </row>
    <row r="607" spans="1:17" x14ac:dyDescent="0.25">
      <c r="A607">
        <f t="shared" si="72"/>
        <v>6.6599999999999016</v>
      </c>
      <c r="B607">
        <f>Main!$B$19/A607</f>
        <v>0.75075075075076181</v>
      </c>
      <c r="D607" s="161">
        <f t="shared" si="73"/>
        <v>0.75075075075076181</v>
      </c>
      <c r="E607" s="161">
        <f>-B607*Main!$B$18-2*Main!$B$18*loop_gain!$B$17*loop_gain!$B$18</f>
        <v>-175.32900900900913</v>
      </c>
      <c r="F607" s="161">
        <f>2*Main!$B$18*loop_gain!$B$17*loop_gain!$B$18*Helper_calcs!$B$14*Current_limit!B607</f>
        <v>486.97297297298007</v>
      </c>
      <c r="G607" s="161">
        <f t="shared" si="75"/>
        <v>2.8113234892987751</v>
      </c>
      <c r="H607" s="161">
        <f>(Main!$B$18-Current_limit!G607)*Current_limit!G607/(Main!$B$18*loop_gain!$B$17*loop_gain!$B$18)</f>
        <v>0.31063422450820422</v>
      </c>
      <c r="I607" s="161">
        <f t="shared" si="76"/>
        <v>3.5893657754918111</v>
      </c>
      <c r="J607" s="161"/>
      <c r="K607" s="163">
        <f>IF(A607&gt;$B$15,IF(I607&gt;Helper_calcs!$B$15,23,3),0)</f>
        <v>23</v>
      </c>
      <c r="L607" s="162">
        <f t="shared" si="74"/>
        <v>2</v>
      </c>
      <c r="M607" s="162">
        <f t="shared" si="77"/>
        <v>2</v>
      </c>
      <c r="N607" s="161">
        <f t="shared" si="78"/>
        <v>3.55</v>
      </c>
      <c r="O607" s="161">
        <f t="shared" si="79"/>
        <v>2.6651651651652042</v>
      </c>
      <c r="P607" s="149">
        <f>IF(OR(M607=0,M607=3),loop_gain!$B$18,IF(Current_limit!M607=1,Current_limit!$B$12/(2*(Current_limit!N607-Helper_calcs!$B$15)),IF(OR(M607=2,M607=23),(Main!$B$18-Current_limit!O607)*Current_limit!O607/(Main!$B$18*loop_gain!$B$17*(Helper_calcs!$B$14-Helper_calcs!$B$15)),x)))</f>
        <v>897506.37173060572</v>
      </c>
      <c r="Q607" s="161"/>
    </row>
    <row r="608" spans="1:17" x14ac:dyDescent="0.25">
      <c r="A608">
        <f t="shared" si="72"/>
        <v>6.6699999999999013</v>
      </c>
      <c r="B608">
        <f>Main!$B$19/A608</f>
        <v>0.7496251874063079</v>
      </c>
      <c r="D608" s="161">
        <f t="shared" si="73"/>
        <v>0.7496251874063079</v>
      </c>
      <c r="E608" s="161">
        <f>-B608*Main!$B$18-2*Main!$B$18*loop_gain!$B$17*loop_gain!$B$18</f>
        <v>-175.3155022488757</v>
      </c>
      <c r="F608" s="161">
        <f>2*Main!$B$18*loop_gain!$B$17*loop_gain!$B$18*Helper_calcs!$B$14*Current_limit!B608</f>
        <v>486.24287856072675</v>
      </c>
      <c r="G608" s="161">
        <f t="shared" si="75"/>
        <v>2.8072264505292863</v>
      </c>
      <c r="H608" s="161">
        <f>(Main!$B$18-Current_limit!G608)*Current_limit!G608/(Main!$B$18*loop_gain!$B$17*loop_gain!$B$18)</f>
        <v>0.31031982998797719</v>
      </c>
      <c r="I608" s="161">
        <f t="shared" si="76"/>
        <v>3.5896801700120244</v>
      </c>
      <c r="J608" s="161"/>
      <c r="K608" s="163">
        <f>IF(A608&gt;$B$15,IF(I608&gt;Helper_calcs!$B$15,23,3),0)</f>
        <v>23</v>
      </c>
      <c r="L608" s="162">
        <f t="shared" si="74"/>
        <v>2</v>
      </c>
      <c r="M608" s="162">
        <f t="shared" si="77"/>
        <v>2</v>
      </c>
      <c r="N608" s="161">
        <f t="shared" si="78"/>
        <v>3.55</v>
      </c>
      <c r="O608" s="161">
        <f t="shared" si="79"/>
        <v>2.661169415292393</v>
      </c>
      <c r="P608" s="149">
        <f>IF(OR(M608=0,M608=3),loop_gain!$B$18,IF(Current_limit!M608=1,Current_limit!$B$12/(2*(Current_limit!N608-Helper_calcs!$B$15)),IF(OR(M608=2,M608=23),(Main!$B$18-Current_limit!O608)*Current_limit!O608/(Main!$B$18*loop_gain!$B$17*(Helper_calcs!$B$14-Helper_calcs!$B$15)),x)))</f>
        <v>896544.38407723908</v>
      </c>
      <c r="Q608" s="161"/>
    </row>
    <row r="609" spans="1:17" x14ac:dyDescent="0.25">
      <c r="A609">
        <f t="shared" ref="A609:A641" si="80">A608+0.01</f>
        <v>6.6799999999999011</v>
      </c>
      <c r="B609">
        <f>Main!$B$19/A609</f>
        <v>0.74850299401198717</v>
      </c>
      <c r="D609" s="161">
        <f t="shared" si="73"/>
        <v>0.74850299401198717</v>
      </c>
      <c r="E609" s="161">
        <f>-B609*Main!$B$18-2*Main!$B$18*loop_gain!$B$17*loop_gain!$B$18</f>
        <v>-175.30203592814385</v>
      </c>
      <c r="F609" s="161">
        <f>2*Main!$B$18*loop_gain!$B$17*loop_gain!$B$18*Helper_calcs!$B$14*Current_limit!B609</f>
        <v>485.51497005988739</v>
      </c>
      <c r="G609" s="161">
        <f t="shared" si="75"/>
        <v>2.8031414821124385</v>
      </c>
      <c r="H609" s="161">
        <f>(Main!$B$18-Current_limit!G609)*Current_limit!G609/(Main!$B$18*loop_gain!$B$17*loop_gain!$B$18)</f>
        <v>0.31000595979569195</v>
      </c>
      <c r="I609" s="161">
        <f t="shared" si="76"/>
        <v>3.5899940402043162</v>
      </c>
      <c r="J609" s="161"/>
      <c r="K609" s="163">
        <f>IF(A609&gt;$B$15,IF(I609&gt;Helper_calcs!$B$15,23,3),0)</f>
        <v>23</v>
      </c>
      <c r="L609" s="162">
        <f t="shared" si="74"/>
        <v>2</v>
      </c>
      <c r="M609" s="162">
        <f t="shared" si="77"/>
        <v>2</v>
      </c>
      <c r="N609" s="161">
        <f t="shared" si="78"/>
        <v>3.55</v>
      </c>
      <c r="O609" s="161">
        <f t="shared" si="79"/>
        <v>2.6571856287425542</v>
      </c>
      <c r="P609" s="149">
        <f>IF(OR(M609=0,M609=3),loop_gain!$B$18,IF(Current_limit!M609=1,Current_limit!$B$12/(2*(Current_limit!N609-Helper_calcs!$B$15)),IF(OR(M609=2,M609=23),(Main!$B$18-Current_limit!O609)*Current_limit!O609/(Main!$B$18*loop_gain!$B$17*(Helper_calcs!$B$14-Helper_calcs!$B$15)),x)))</f>
        <v>895584.12984540756</v>
      </c>
      <c r="Q609" s="161"/>
    </row>
    <row r="610" spans="1:17" x14ac:dyDescent="0.25">
      <c r="A610">
        <f t="shared" si="80"/>
        <v>6.6899999999999009</v>
      </c>
      <c r="B610">
        <f>Main!$B$19/A610</f>
        <v>0.74738415545591541</v>
      </c>
      <c r="D610" s="161">
        <f t="shared" si="73"/>
        <v>0.74738415545591541</v>
      </c>
      <c r="E610" s="161">
        <f>-B610*Main!$B$18-2*Main!$B$18*loop_gain!$B$17*loop_gain!$B$18</f>
        <v>-175.28860986547099</v>
      </c>
      <c r="F610" s="161">
        <f>2*Main!$B$18*loop_gain!$B$17*loop_gain!$B$18*Helper_calcs!$B$14*Current_limit!B610</f>
        <v>484.78923766816854</v>
      </c>
      <c r="G610" s="161">
        <f t="shared" si="75"/>
        <v>2.7990685301424012</v>
      </c>
      <c r="H610" s="161">
        <f>(Main!$B$18-Current_limit!G610)*Current_limit!G610/(Main!$B$18*loop_gain!$B$17*loop_gain!$B$18)</f>
        <v>0.30969261333904846</v>
      </c>
      <c r="I610" s="161">
        <f t="shared" si="76"/>
        <v>3.5903073866609532</v>
      </c>
      <c r="J610" s="161"/>
      <c r="K610" s="163">
        <f>IF(A610&gt;$B$15,IF(I610&gt;Helper_calcs!$B$15,23,3),0)</f>
        <v>23</v>
      </c>
      <c r="L610" s="162">
        <f t="shared" si="74"/>
        <v>2</v>
      </c>
      <c r="M610" s="162">
        <f t="shared" si="77"/>
        <v>2</v>
      </c>
      <c r="N610" s="161">
        <f t="shared" si="78"/>
        <v>3.55</v>
      </c>
      <c r="O610" s="161">
        <f t="shared" si="79"/>
        <v>2.6532137518684995</v>
      </c>
      <c r="P610" s="149">
        <f>IF(OR(M610=0,M610=3),loop_gain!$B$18,IF(Current_limit!M610=1,Current_limit!$B$12/(2*(Current_limit!N610-Helper_calcs!$B$15)),IF(OR(M610=2,M610=23),(Main!$B$18-Current_limit!O610)*Current_limit!O610/(Main!$B$18*loop_gain!$B$17*(Helper_calcs!$B$14-Helper_calcs!$B$15)),x)))</f>
        <v>894625.60639674903</v>
      </c>
      <c r="Q610" s="161"/>
    </row>
    <row r="611" spans="1:17" x14ac:dyDescent="0.25">
      <c r="A611">
        <f t="shared" si="80"/>
        <v>6.6999999999999007</v>
      </c>
      <c r="B611">
        <f>Main!$B$19/A611</f>
        <v>0.74626865671642895</v>
      </c>
      <c r="D611" s="161">
        <f t="shared" si="73"/>
        <v>0.74626865671642895</v>
      </c>
      <c r="E611" s="161">
        <f>-B611*Main!$B$18-2*Main!$B$18*loop_gain!$B$17*loop_gain!$B$18</f>
        <v>-175.27522388059714</v>
      </c>
      <c r="F611" s="161">
        <f>2*Main!$B$18*loop_gain!$B$17*loop_gain!$B$18*Helper_calcs!$B$14*Current_limit!B611</f>
        <v>484.06567164179813</v>
      </c>
      <c r="G611" s="161">
        <f t="shared" si="75"/>
        <v>2.7950075410376645</v>
      </c>
      <c r="H611" s="161">
        <f>(Main!$B$18-Current_limit!G611)*Current_limit!G611/(Main!$B$18*loop_gain!$B$17*loop_gain!$B$18)</f>
        <v>0.30937979001917465</v>
      </c>
      <c r="I611" s="161">
        <f t="shared" si="76"/>
        <v>3.5906202099808278</v>
      </c>
      <c r="J611" s="161"/>
      <c r="K611" s="163">
        <f>IF(A611&gt;$B$15,IF(I611&gt;Helper_calcs!$B$15,23,3),0)</f>
        <v>23</v>
      </c>
      <c r="L611" s="162">
        <f t="shared" si="74"/>
        <v>2</v>
      </c>
      <c r="M611" s="162">
        <f t="shared" si="77"/>
        <v>2</v>
      </c>
      <c r="N611" s="161">
        <f t="shared" si="78"/>
        <v>3.55</v>
      </c>
      <c r="O611" s="161">
        <f t="shared" si="79"/>
        <v>2.6492537313433226</v>
      </c>
      <c r="P611" s="149">
        <f>IF(OR(M611=0,M611=3),loop_gain!$B$18,IF(Current_limit!M611=1,Current_limit!$B$12/(2*(Current_limit!N611-Helper_calcs!$B$15)),IF(OR(M611=2,M611=23),(Main!$B$18-Current_limit!O611)*Current_limit!O611/(Main!$B$18*loop_gain!$B$17*(Helper_calcs!$B$14-Helper_calcs!$B$15)),x)))</f>
        <v>893668.81107804342</v>
      </c>
      <c r="Q611" s="161"/>
    </row>
    <row r="612" spans="1:17" x14ac:dyDescent="0.25">
      <c r="A612">
        <f t="shared" si="80"/>
        <v>6.7099999999999005</v>
      </c>
      <c r="B612">
        <f>Main!$B$19/A612</f>
        <v>0.7451564828614119</v>
      </c>
      <c r="D612" s="161">
        <f t="shared" si="73"/>
        <v>0.7451564828614119</v>
      </c>
      <c r="E612" s="161">
        <f>-B612*Main!$B$18-2*Main!$B$18*loop_gain!$B$17*loop_gain!$B$18</f>
        <v>-175.26187779433693</v>
      </c>
      <c r="F612" s="161">
        <f>2*Main!$B$18*loop_gain!$B$17*loop_gain!$B$18*Helper_calcs!$B$14*Current_limit!B612</f>
        <v>483.34426229508904</v>
      </c>
      <c r="G612" s="161">
        <f t="shared" si="75"/>
        <v>2.7909584615385037</v>
      </c>
      <c r="H612" s="161">
        <f>(Main!$B$18-Current_limit!G612)*Current_limit!G612/(Main!$B$18*loop_gain!$B$17*loop_gain!$B$18)</f>
        <v>0.30906748923074406</v>
      </c>
      <c r="I612" s="161">
        <f t="shared" si="76"/>
        <v>3.5909325107692447</v>
      </c>
      <c r="J612" s="161"/>
      <c r="K612" s="163">
        <f>IF(A612&gt;$B$15,IF(I612&gt;Helper_calcs!$B$15,23,3),0)</f>
        <v>23</v>
      </c>
      <c r="L612" s="162">
        <f t="shared" si="74"/>
        <v>2</v>
      </c>
      <c r="M612" s="162">
        <f t="shared" si="77"/>
        <v>2</v>
      </c>
      <c r="N612" s="161">
        <f t="shared" si="78"/>
        <v>3.55</v>
      </c>
      <c r="O612" s="161">
        <f t="shared" si="79"/>
        <v>2.6453055141580122</v>
      </c>
      <c r="P612" s="149">
        <f>IF(OR(M612=0,M612=3),loop_gain!$B$18,IF(Current_limit!M612=1,Current_limit!$B$12/(2*(Current_limit!N612-Helper_calcs!$B$15)),IF(OR(M612=2,M612=23),(Main!$B$18-Current_limit!O612)*Current_limit!O612/(Main!$B$18*loop_gain!$B$17*(Helper_calcs!$B$14-Helper_calcs!$B$15)),x)))</f>
        <v>892713.74122155015</v>
      </c>
      <c r="Q612" s="161"/>
    </row>
    <row r="613" spans="1:17" x14ac:dyDescent="0.25">
      <c r="A613">
        <f t="shared" si="80"/>
        <v>6.7199999999999003</v>
      </c>
      <c r="B613">
        <f>Main!$B$19/A613</f>
        <v>0.74404761904763006</v>
      </c>
      <c r="D613" s="161">
        <f t="shared" si="73"/>
        <v>0.74404761904763006</v>
      </c>
      <c r="E613" s="161">
        <f>-B613*Main!$B$18-2*Main!$B$18*loop_gain!$B$17*loop_gain!$B$18</f>
        <v>-175.24857142857155</v>
      </c>
      <c r="F613" s="161">
        <f>2*Main!$B$18*loop_gain!$B$17*loop_gain!$B$18*Helper_calcs!$B$14*Current_limit!B613</f>
        <v>482.62500000000705</v>
      </c>
      <c r="G613" s="161">
        <f t="shared" si="75"/>
        <v>2.7869212387046134</v>
      </c>
      <c r="H613" s="161">
        <f>(Main!$B$18-Current_limit!G613)*Current_limit!G613/(Main!$B$18*loop_gain!$B$17*loop_gain!$B$18)</f>
        <v>0.30875571036210325</v>
      </c>
      <c r="I613" s="161">
        <f t="shared" si="76"/>
        <v>3.5912442896378933</v>
      </c>
      <c r="J613" s="161"/>
      <c r="K613" s="163">
        <f>IF(A613&gt;$B$15,IF(I613&gt;Helper_calcs!$B$15,23,3),0)</f>
        <v>23</v>
      </c>
      <c r="L613" s="162">
        <f t="shared" si="74"/>
        <v>2</v>
      </c>
      <c r="M613" s="162">
        <f t="shared" si="77"/>
        <v>2</v>
      </c>
      <c r="N613" s="161">
        <f t="shared" si="78"/>
        <v>3.55</v>
      </c>
      <c r="O613" s="161">
        <f t="shared" si="79"/>
        <v>2.6413690476190865</v>
      </c>
      <c r="P613" s="149">
        <f>IF(OR(M613=0,M613=3),loop_gain!$B$18,IF(Current_limit!M613=1,Current_limit!$B$12/(2*(Current_limit!N613-Helper_calcs!$B$15)),IF(OR(M613=2,M613=23),(Main!$B$18-Current_limit!O613)*Current_limit!O613/(Main!$B$18*loop_gain!$B$17*(Helper_calcs!$B$14-Helper_calcs!$B$15)),x)))</f>
        <v>891760.39414534229</v>
      </c>
      <c r="Q613" s="161"/>
    </row>
    <row r="614" spans="1:17" x14ac:dyDescent="0.25">
      <c r="A614">
        <f t="shared" si="80"/>
        <v>6.7299999999999001</v>
      </c>
      <c r="B614">
        <f>Main!$B$19/A614</f>
        <v>0.74294205052007045</v>
      </c>
      <c r="D614" s="161">
        <f t="shared" si="73"/>
        <v>0.74294205052007045</v>
      </c>
      <c r="E614" s="161">
        <f>-B614*Main!$B$18-2*Main!$B$18*loop_gain!$B$17*loop_gain!$B$18</f>
        <v>-175.23530460624085</v>
      </c>
      <c r="F614" s="161">
        <f>2*Main!$B$18*loop_gain!$B$17*loop_gain!$B$18*Helper_calcs!$B$14*Current_limit!B614</f>
        <v>481.90787518574257</v>
      </c>
      <c r="G614" s="161">
        <f t="shared" si="75"/>
        <v>2.7828958199125973</v>
      </c>
      <c r="H614" s="161">
        <f>(Main!$B$18-Current_limit!G614)*Current_limit!G614/(Main!$B$18*loop_gain!$B$17*loop_gain!$B$18)</f>
        <v>0.30844445279538435</v>
      </c>
      <c r="I614" s="161">
        <f t="shared" si="76"/>
        <v>3.5915555472046083</v>
      </c>
      <c r="J614" s="161"/>
      <c r="K614" s="163">
        <f>IF(A614&gt;$B$15,IF(I614&gt;Helper_calcs!$B$15,23,3),0)</f>
        <v>23</v>
      </c>
      <c r="L614" s="162">
        <f t="shared" si="74"/>
        <v>2</v>
      </c>
      <c r="M614" s="162">
        <f t="shared" si="77"/>
        <v>2</v>
      </c>
      <c r="N614" s="161">
        <f t="shared" si="78"/>
        <v>3.55</v>
      </c>
      <c r="O614" s="161">
        <f t="shared" si="79"/>
        <v>2.63744427934625</v>
      </c>
      <c r="P614" s="149">
        <f>IF(OR(M614=0,M614=3),loop_gain!$B$18,IF(Current_limit!M614=1,Current_limit!$B$12/(2*(Current_limit!N614-Helper_calcs!$B$15)),IF(OR(M614=2,M614=23),(Main!$B$18-Current_limit!O614)*Current_limit!O614/(Main!$B$18*loop_gain!$B$17*(Helper_calcs!$B$14-Helper_calcs!$B$15)),x)))</f>
        <v>890808.76715363457</v>
      </c>
      <c r="Q614" s="161"/>
    </row>
    <row r="615" spans="1:17" x14ac:dyDescent="0.25">
      <c r="A615">
        <f t="shared" si="80"/>
        <v>6.7399999999998998</v>
      </c>
      <c r="B615">
        <f>Main!$B$19/A615</f>
        <v>0.74183976261128703</v>
      </c>
      <c r="D615" s="161">
        <f t="shared" si="73"/>
        <v>0.74183976261128703</v>
      </c>
      <c r="E615" s="161">
        <f>-B615*Main!$B$18-2*Main!$B$18*loop_gain!$B$17*loop_gain!$B$18</f>
        <v>-175.22207715133544</v>
      </c>
      <c r="F615" s="161">
        <f>2*Main!$B$18*loop_gain!$B$17*loop_gain!$B$18*Helper_calcs!$B$14*Current_limit!B615</f>
        <v>481.19287833828605</v>
      </c>
      <c r="G615" s="161">
        <f t="shared" si="75"/>
        <v>2.7788821528536682</v>
      </c>
      <c r="H615" s="161">
        <f>(Main!$B$18-Current_limit!G615)*Current_limit!G615/(Main!$B$18*loop_gain!$B$17*loop_gain!$B$18)</f>
        <v>0.30813371590663036</v>
      </c>
      <c r="I615" s="161">
        <f t="shared" si="76"/>
        <v>3.5918662840933737</v>
      </c>
      <c r="J615" s="161"/>
      <c r="K615" s="163">
        <f>IF(A615&gt;$B$15,IF(I615&gt;Helper_calcs!$B$15,23,3),0)</f>
        <v>23</v>
      </c>
      <c r="L615" s="162">
        <f t="shared" si="74"/>
        <v>2</v>
      </c>
      <c r="M615" s="162">
        <f t="shared" si="77"/>
        <v>2</v>
      </c>
      <c r="N615" s="161">
        <f t="shared" si="78"/>
        <v>3.55</v>
      </c>
      <c r="O615" s="161">
        <f t="shared" si="79"/>
        <v>2.633531157270069</v>
      </c>
      <c r="P615" s="149">
        <f>IF(OR(M615=0,M615=3),loop_gain!$B$18,IF(Current_limit!M615=1,Current_limit!$B$12/(2*(Current_limit!N615-Helper_calcs!$B$15)),IF(OR(M615=2,M615=23),(Main!$B$18-Current_limit!O615)*Current_limit!O615/(Main!$B$18*loop_gain!$B$17*(Helper_calcs!$B$14-Helper_calcs!$B$15)),x)))</f>
        <v>889858.85753710719</v>
      </c>
      <c r="Q615" s="161"/>
    </row>
    <row r="616" spans="1:17" x14ac:dyDescent="0.25">
      <c r="A616">
        <f t="shared" si="80"/>
        <v>6.7499999999998996</v>
      </c>
      <c r="B616">
        <f>Main!$B$19/A616</f>
        <v>0.7407407407407518</v>
      </c>
      <c r="D616" s="161">
        <f t="shared" si="73"/>
        <v>0.7407407407407518</v>
      </c>
      <c r="E616" s="161">
        <f>-B616*Main!$B$18-2*Main!$B$18*loop_gain!$B$17*loop_gain!$B$18</f>
        <v>-175.20888888888902</v>
      </c>
      <c r="F616" s="161">
        <f>2*Main!$B$18*loop_gain!$B$17*loop_gain!$B$18*Helper_calcs!$B$14*Current_limit!B616</f>
        <v>480.48000000000712</v>
      </c>
      <c r="G616" s="161">
        <f t="shared" si="75"/>
        <v>2.7748801855311886</v>
      </c>
      <c r="H616" s="161">
        <f>(Main!$B$18-Current_limit!G616)*Current_limit!G616/(Main!$B$18*loop_gain!$B$17*loop_gain!$B$18)</f>
        <v>0.307823499065905</v>
      </c>
      <c r="I616" s="161">
        <f t="shared" si="76"/>
        <v>3.5921765009340962</v>
      </c>
      <c r="J616" s="161"/>
      <c r="K616" s="163">
        <f>IF(A616&gt;$B$15,IF(I616&gt;Helper_calcs!$B$15,23,3),0)</f>
        <v>23</v>
      </c>
      <c r="L616" s="162">
        <f t="shared" si="74"/>
        <v>2</v>
      </c>
      <c r="M616" s="162">
        <f t="shared" si="77"/>
        <v>2</v>
      </c>
      <c r="N616" s="161">
        <f t="shared" si="78"/>
        <v>3.55</v>
      </c>
      <c r="O616" s="161">
        <f t="shared" si="79"/>
        <v>2.6296296296296688</v>
      </c>
      <c r="P616" s="149">
        <f>IF(OR(M616=0,M616=3),loop_gain!$B$18,IF(Current_limit!M616=1,Current_limit!$B$12/(2*(Current_limit!N616-Helper_calcs!$B$15)),IF(OR(M616=2,M616=23),(Main!$B$18-Current_limit!O616)*Current_limit!O616/(Main!$B$18*loop_gain!$B$17*(Helper_calcs!$B$14-Helper_calcs!$B$15)),x)))</f>
        <v>888910.66257322382</v>
      </c>
      <c r="Q616" s="161"/>
    </row>
    <row r="617" spans="1:17" x14ac:dyDescent="0.25">
      <c r="A617">
        <f t="shared" si="80"/>
        <v>6.7599999999998994</v>
      </c>
      <c r="B617">
        <f>Main!$B$19/A617</f>
        <v>0.73964497041421218</v>
      </c>
      <c r="D617" s="161">
        <f t="shared" si="73"/>
        <v>0.73964497041421218</v>
      </c>
      <c r="E617" s="161">
        <f>-B617*Main!$B$18-2*Main!$B$18*loop_gain!$B$17*loop_gain!$B$18</f>
        <v>-175.19573964497053</v>
      </c>
      <c r="F617" s="161">
        <f>2*Main!$B$18*loop_gain!$B$17*loop_gain!$B$18*Helper_calcs!$B$14*Current_limit!B617</f>
        <v>479.76923076923782</v>
      </c>
      <c r="G617" s="161">
        <f t="shared" si="75"/>
        <v>2.7708898662583854</v>
      </c>
      <c r="H617" s="161">
        <f>(Main!$B$18-Current_limit!G617)*Current_limit!G617/(Main!$B$18*loop_gain!$B$17*loop_gain!$B$18)</f>
        <v>0.30751380163741232</v>
      </c>
      <c r="I617" s="161">
        <f t="shared" si="76"/>
        <v>3.5924861983625749</v>
      </c>
      <c r="J617" s="161"/>
      <c r="K617" s="163">
        <f>IF(A617&gt;$B$15,IF(I617&gt;Helper_calcs!$B$15,23,3),0)</f>
        <v>23</v>
      </c>
      <c r="L617" s="162">
        <f t="shared" si="74"/>
        <v>2</v>
      </c>
      <c r="M617" s="162">
        <f t="shared" si="77"/>
        <v>2</v>
      </c>
      <c r="N617" s="161">
        <f t="shared" si="78"/>
        <v>3.55</v>
      </c>
      <c r="O617" s="161">
        <f t="shared" si="79"/>
        <v>2.6257396449704533</v>
      </c>
      <c r="P617" s="149">
        <f>IF(OR(M617=0,M617=3),loop_gain!$B$18,IF(Current_limit!M617=1,Current_limit!$B$12/(2*(Current_limit!N617-Helper_calcs!$B$15)),IF(OR(M617=2,M617=23),(Main!$B$18-Current_limit!O617)*Current_limit!O617/(Main!$B$18*loop_gain!$B$17*(Helper_calcs!$B$14-Helper_calcs!$B$15)),x)))</f>
        <v>887964.1795265472</v>
      </c>
      <c r="Q617" s="161"/>
    </row>
    <row r="618" spans="1:17" x14ac:dyDescent="0.25">
      <c r="A618">
        <f t="shared" si="80"/>
        <v>6.7699999999998992</v>
      </c>
      <c r="B618">
        <f>Main!$B$19/A618</f>
        <v>0.73855243722305386</v>
      </c>
      <c r="D618" s="161">
        <f t="shared" si="73"/>
        <v>0.73855243722305386</v>
      </c>
      <c r="E618" s="161">
        <f>-B618*Main!$B$18-2*Main!$B$18*loop_gain!$B$17*loop_gain!$B$18</f>
        <v>-175.18262924667664</v>
      </c>
      <c r="F618" s="161">
        <f>2*Main!$B$18*loop_gain!$B$17*loop_gain!$B$18*Helper_calcs!$B$14*Current_limit!B618</f>
        <v>479.06056129985939</v>
      </c>
      <c r="G618" s="161">
        <f t="shared" si="75"/>
        <v>2.7669111436560234</v>
      </c>
      <c r="H618" s="161">
        <f>(Main!$B$18-Current_limit!G618)*Current_limit!G618/(Main!$B$18*loop_gain!$B$17*loop_gain!$B$18)</f>
        <v>0.30720462297961038</v>
      </c>
      <c r="I618" s="161">
        <f t="shared" si="76"/>
        <v>3.5927953770203946</v>
      </c>
      <c r="J618" s="161"/>
      <c r="K618" s="163">
        <f>IF(A618&gt;$B$15,IF(I618&gt;Helper_calcs!$B$15,23,3),0)</f>
        <v>23</v>
      </c>
      <c r="L618" s="162">
        <f t="shared" si="74"/>
        <v>2</v>
      </c>
      <c r="M618" s="162">
        <f t="shared" si="77"/>
        <v>2</v>
      </c>
      <c r="N618" s="161">
        <f t="shared" si="78"/>
        <v>3.55</v>
      </c>
      <c r="O618" s="161">
        <f t="shared" si="79"/>
        <v>2.6218611521418409</v>
      </c>
      <c r="P618" s="149">
        <f>IF(OR(M618=0,M618=3),loop_gain!$B$18,IF(Current_limit!M618=1,Current_limit!$B$12/(2*(Current_limit!N618-Helper_calcs!$B$15)),IF(OR(M618=2,M618=23),(Main!$B$18-Current_limit!O618)*Current_limit!O618/(Main!$B$18*loop_gain!$B$17*(Helper_calcs!$B$14-Helper_calcs!$B$15)),x)))</f>
        <v>887019.40564904606</v>
      </c>
      <c r="Q618" s="161"/>
    </row>
    <row r="619" spans="1:17" x14ac:dyDescent="0.25">
      <c r="A619">
        <f t="shared" si="80"/>
        <v>6.779999999999899</v>
      </c>
      <c r="B619">
        <f>Main!$B$19/A619</f>
        <v>0.73746312684366877</v>
      </c>
      <c r="D619" s="161">
        <f t="shared" si="73"/>
        <v>0.73746312684366877</v>
      </c>
      <c r="E619" s="161">
        <f>-B619*Main!$B$18-2*Main!$B$18*loop_gain!$B$17*loop_gain!$B$18</f>
        <v>-175.16955752212402</v>
      </c>
      <c r="F619" s="161">
        <f>2*Main!$B$18*loop_gain!$B$17*loop_gain!$B$18*Helper_calcs!$B$14*Current_limit!B619</f>
        <v>478.35398230089197</v>
      </c>
      <c r="G619" s="161">
        <f t="shared" si="75"/>
        <v>2.7629439666499911</v>
      </c>
      <c r="H619" s="161">
        <f>(Main!$B$18-Current_limit!G619)*Current_limit!G619/(Main!$B$18*loop_gain!$B$17*loop_gain!$B$18)</f>
        <v>0.30689596244531386</v>
      </c>
      <c r="I619" s="161">
        <f t="shared" si="76"/>
        <v>3.5931040375546757</v>
      </c>
      <c r="J619" s="161"/>
      <c r="K619" s="163">
        <f>IF(A619&gt;$B$15,IF(I619&gt;Helper_calcs!$B$15,23,3),0)</f>
        <v>23</v>
      </c>
      <c r="L619" s="162">
        <f t="shared" si="74"/>
        <v>2</v>
      </c>
      <c r="M619" s="162">
        <f t="shared" si="77"/>
        <v>2</v>
      </c>
      <c r="N619" s="161">
        <f t="shared" si="78"/>
        <v>3.55</v>
      </c>
      <c r="O619" s="161">
        <f t="shared" si="79"/>
        <v>2.6179941002950242</v>
      </c>
      <c r="P619" s="149">
        <f>IF(OR(M619=0,M619=3),loop_gain!$B$18,IF(Current_limit!M619=1,Current_limit!$B$12/(2*(Current_limit!N619-Helper_calcs!$B$15)),IF(OR(M619=2,M619=23),(Main!$B$18-Current_limit!O619)*Current_limit!O619/(Main!$B$18*loop_gain!$B$17*(Helper_calcs!$B$14-Helper_calcs!$B$15)),x)))</f>
        <v>886076.33818040206</v>
      </c>
      <c r="Q619" s="161"/>
    </row>
    <row r="620" spans="1:17" x14ac:dyDescent="0.25">
      <c r="A620">
        <f t="shared" si="80"/>
        <v>6.7899999999998988</v>
      </c>
      <c r="B620">
        <f>Main!$B$19/A620</f>
        <v>0.73637702503682978</v>
      </c>
      <c r="D620" s="161">
        <f t="shared" si="73"/>
        <v>0.73637702503682978</v>
      </c>
      <c r="E620" s="161">
        <f>-B620*Main!$B$18-2*Main!$B$18*loop_gain!$B$17*loop_gain!$B$18</f>
        <v>-175.15652430044196</v>
      </c>
      <c r="F620" s="161">
        <f>2*Main!$B$18*loop_gain!$B$17*loop_gain!$B$18*Helper_calcs!$B$14*Current_limit!B620</f>
        <v>477.64948453608952</v>
      </c>
      <c r="G620" s="161">
        <f t="shared" si="75"/>
        <v>2.7589882844691869</v>
      </c>
      <c r="H620" s="161">
        <f>(Main!$B$18-Current_limit!G620)*Current_limit!G620/(Main!$B$18*loop_gain!$B$17*loop_gain!$B$18)</f>
        <v>0.30658781938181839</v>
      </c>
      <c r="I620" s="161">
        <f t="shared" si="76"/>
        <v>3.5934121806181909</v>
      </c>
      <c r="J620" s="161"/>
      <c r="K620" s="163">
        <f>IF(A620&gt;$B$15,IF(I620&gt;Helper_calcs!$B$15,23,3),0)</f>
        <v>23</v>
      </c>
      <c r="L620" s="162">
        <f t="shared" si="74"/>
        <v>2</v>
      </c>
      <c r="M620" s="162">
        <f t="shared" si="77"/>
        <v>2</v>
      </c>
      <c r="N620" s="161">
        <f t="shared" si="78"/>
        <v>3.55</v>
      </c>
      <c r="O620" s="161">
        <f t="shared" si="79"/>
        <v>2.6141384388807456</v>
      </c>
      <c r="P620" s="149">
        <f>IF(OR(M620=0,M620=3),loop_gain!$B$18,IF(Current_limit!M620=1,Current_limit!$B$12/(2*(Current_limit!N620-Helper_calcs!$B$15)),IF(OR(M620=2,M620=23),(Main!$B$18-Current_limit!O620)*Current_limit!O620/(Main!$B$18*loop_gain!$B$17*(Helper_calcs!$B$14-Helper_calcs!$B$15)),x)))</f>
        <v>885134.97434830782</v>
      </c>
      <c r="Q620" s="161"/>
    </row>
    <row r="621" spans="1:17" x14ac:dyDescent="0.25">
      <c r="A621">
        <f t="shared" si="80"/>
        <v>6.7999999999998986</v>
      </c>
      <c r="B621">
        <f>Main!$B$19/A621</f>
        <v>0.73529411764706976</v>
      </c>
      <c r="D621" s="161">
        <f t="shared" si="73"/>
        <v>0.73529411764706976</v>
      </c>
      <c r="E621" s="161">
        <f>-B621*Main!$B$18-2*Main!$B$18*loop_gain!$B$17*loop_gain!$B$18</f>
        <v>-175.14352941176483</v>
      </c>
      <c r="F621" s="161">
        <f>2*Main!$B$18*loop_gain!$B$17*loop_gain!$B$18*Helper_calcs!$B$14*Current_limit!B621</f>
        <v>476.94705882353645</v>
      </c>
      <c r="G621" s="161">
        <f t="shared" si="75"/>
        <v>2.7550440466430577</v>
      </c>
      <c r="H621" s="161">
        <f>(Main!$B$18-Current_limit!G621)*Current_limit!G621/(Main!$B$18*loop_gain!$B$17*loop_gain!$B$18)</f>
        <v>0.30628019313099258</v>
      </c>
      <c r="I621" s="161">
        <f t="shared" si="76"/>
        <v>3.5937198068690068</v>
      </c>
      <c r="J621" s="161"/>
      <c r="K621" s="163">
        <f>IF(A621&gt;$B$15,IF(I621&gt;Helper_calcs!$B$15,23,3),0)</f>
        <v>23</v>
      </c>
      <c r="L621" s="162">
        <f t="shared" si="74"/>
        <v>2</v>
      </c>
      <c r="M621" s="162">
        <f t="shared" si="77"/>
        <v>2</v>
      </c>
      <c r="N621" s="161">
        <f t="shared" si="78"/>
        <v>3.55</v>
      </c>
      <c r="O621" s="161">
        <f t="shared" si="79"/>
        <v>2.6102941176470975</v>
      </c>
      <c r="P621" s="149">
        <f>IF(OR(M621=0,M621=3),loop_gain!$B$18,IF(Current_limit!M621=1,Current_limit!$B$12/(2*(Current_limit!N621-Helper_calcs!$B$15)),IF(OR(M621=2,M621=23),(Main!$B$18-Current_limit!O621)*Current_limit!O621/(Main!$B$18*loop_gain!$B$17*(Helper_calcs!$B$14-Helper_calcs!$B$15)),x)))</f>
        <v>884195.31136876415</v>
      </c>
      <c r="Q621" s="161"/>
    </row>
    <row r="622" spans="1:17" x14ac:dyDescent="0.25">
      <c r="A622">
        <f t="shared" si="80"/>
        <v>6.8099999999998984</v>
      </c>
      <c r="B622">
        <f>Main!$B$19/A622</f>
        <v>0.73421439060206672</v>
      </c>
      <c r="D622" s="161">
        <f t="shared" si="73"/>
        <v>0.73421439060206672</v>
      </c>
      <c r="E622" s="161">
        <f>-B622*Main!$B$18-2*Main!$B$18*loop_gain!$B$17*loop_gain!$B$18</f>
        <v>-175.1305726872248</v>
      </c>
      <c r="F622" s="161">
        <f>2*Main!$B$18*loop_gain!$B$17*loop_gain!$B$18*Helper_calcs!$B$14*Current_limit!B622</f>
        <v>476.24669603524933</v>
      </c>
      <c r="G622" s="161">
        <f t="shared" si="75"/>
        <v>2.7511112029995144</v>
      </c>
      <c r="H622" s="161">
        <f>(Main!$B$18-Current_limit!G622)*Current_limit!G622/(Main!$B$18*loop_gain!$B$17*loop_gain!$B$18)</f>
        <v>0.30597308302939802</v>
      </c>
      <c r="I622" s="161">
        <f t="shared" si="76"/>
        <v>3.5940269169705839</v>
      </c>
      <c r="J622" s="161"/>
      <c r="K622" s="163">
        <f>IF(A622&gt;$B$15,IF(I622&gt;Helper_calcs!$B$15,23,3),0)</f>
        <v>23</v>
      </c>
      <c r="L622" s="162">
        <f t="shared" si="74"/>
        <v>2</v>
      </c>
      <c r="M622" s="162">
        <f t="shared" si="77"/>
        <v>2</v>
      </c>
      <c r="N622" s="161">
        <f t="shared" si="78"/>
        <v>3.55</v>
      </c>
      <c r="O622" s="161">
        <f t="shared" si="79"/>
        <v>2.6064610866373368</v>
      </c>
      <c r="P622" s="149">
        <f>IF(OR(M622=0,M622=3),loop_gain!$B$18,IF(Current_limit!M622=1,Current_limit!$B$12/(2*(Current_limit!N622-Helper_calcs!$B$15)),IF(OR(M622=2,M622=23),(Main!$B$18-Current_limit!O622)*Current_limit!O622/(Main!$B$18*loop_gain!$B$17*(Helper_calcs!$B$14-Helper_calcs!$B$15)),x)))</f>
        <v>883257.34644636966</v>
      </c>
      <c r="Q622" s="161"/>
    </row>
    <row r="623" spans="1:17" x14ac:dyDescent="0.25">
      <c r="A623">
        <f t="shared" si="80"/>
        <v>6.8199999999998981</v>
      </c>
      <c r="B623">
        <f>Main!$B$19/A623</f>
        <v>0.73313782991203436</v>
      </c>
      <c r="D623" s="161">
        <f t="shared" si="73"/>
        <v>0.73313782991203436</v>
      </c>
      <c r="E623" s="161">
        <f>-B623*Main!$B$18-2*Main!$B$18*loop_gain!$B$17*loop_gain!$B$18</f>
        <v>-175.1176539589444</v>
      </c>
      <c r="F623" s="161">
        <f>2*Main!$B$18*loop_gain!$B$17*loop_gain!$B$18*Helper_calcs!$B$14*Current_limit!B623</f>
        <v>475.5483870967812</v>
      </c>
      <c r="G623" s="161">
        <f t="shared" si="75"/>
        <v>2.7471897036626585</v>
      </c>
      <c r="H623" s="161">
        <f>(Main!$B$18-Current_limit!G623)*Current_limit!G623/(Main!$B$18*loop_gain!$B$17*loop_gain!$B$18)</f>
        <v>0.30566648840839078</v>
      </c>
      <c r="I623" s="161">
        <f t="shared" si="76"/>
        <v>3.5943335115916151</v>
      </c>
      <c r="J623" s="161"/>
      <c r="K623" s="163">
        <f>IF(A623&gt;$B$15,IF(I623&gt;Helper_calcs!$B$15,23,3),0)</f>
        <v>23</v>
      </c>
      <c r="L623" s="162">
        <f t="shared" si="74"/>
        <v>2</v>
      </c>
      <c r="M623" s="162">
        <f t="shared" si="77"/>
        <v>2</v>
      </c>
      <c r="N623" s="161">
        <f t="shared" si="78"/>
        <v>3.55</v>
      </c>
      <c r="O623" s="161">
        <f t="shared" si="79"/>
        <v>2.6026392961877218</v>
      </c>
      <c r="P623" s="149">
        <f>IF(OR(M623=0,M623=3),loop_gain!$B$18,IF(Current_limit!M623=1,Current_limit!$B$12/(2*(Current_limit!N623-Helper_calcs!$B$15)),IF(OR(M623=2,M623=23),(Main!$B$18-Current_limit!O623)*Current_limit!O623/(Main!$B$18*loop_gain!$B$17*(Helper_calcs!$B$14-Helper_calcs!$B$15)),x)))</f>
        <v>882321.07677460858</v>
      </c>
      <c r="Q623" s="161"/>
    </row>
    <row r="624" spans="1:17" x14ac:dyDescent="0.25">
      <c r="A624">
        <f t="shared" si="80"/>
        <v>6.8299999999998979</v>
      </c>
      <c r="B624">
        <f>Main!$B$19/A624</f>
        <v>0.73206442166911778</v>
      </c>
      <c r="D624" s="161">
        <f t="shared" si="73"/>
        <v>0.73206442166911778</v>
      </c>
      <c r="E624" s="161">
        <f>-B624*Main!$B$18-2*Main!$B$18*loop_gain!$B$17*loop_gain!$B$18</f>
        <v>-175.1047730600294</v>
      </c>
      <c r="F624" s="161">
        <f>2*Main!$B$18*loop_gain!$B$17*loop_gain!$B$18*Helper_calcs!$B$14*Current_limit!B624</f>
        <v>474.85212298682984</v>
      </c>
      <c r="G624" s="161">
        <f t="shared" si="75"/>
        <v>2.7432794990504621</v>
      </c>
      <c r="H624" s="161">
        <f>(Main!$B$18-Current_limit!G624)*Current_limit!G624/(Main!$B$18*loop_gain!$B$17*loop_gain!$B$18)</f>
        <v>0.30536040859421582</v>
      </c>
      <c r="I624" s="161">
        <f t="shared" si="76"/>
        <v>3.5946395914057674</v>
      </c>
      <c r="J624" s="161"/>
      <c r="K624" s="163">
        <f>IF(A624&gt;$B$15,IF(I624&gt;Helper_calcs!$B$15,23,3),0)</f>
        <v>23</v>
      </c>
      <c r="L624" s="162">
        <f t="shared" si="74"/>
        <v>2</v>
      </c>
      <c r="M624" s="162">
        <f t="shared" si="77"/>
        <v>2</v>
      </c>
      <c r="N624" s="161">
        <f t="shared" si="78"/>
        <v>3.55</v>
      </c>
      <c r="O624" s="161">
        <f t="shared" si="79"/>
        <v>2.5988286969253678</v>
      </c>
      <c r="P624" s="149">
        <f>IF(OR(M624=0,M624=3),loop_gain!$B$18,IF(Current_limit!M624=1,Current_limit!$B$12/(2*(Current_limit!N624-Helper_calcs!$B$15)),IF(OR(M624=2,M624=23),(Main!$B$18-Current_limit!O624)*Current_limit!O624/(Main!$B$18*loop_gain!$B$17*(Helper_calcs!$B$14-Helper_calcs!$B$15)),x)))</f>
        <v>881386.49953613337</v>
      </c>
      <c r="Q624" s="161"/>
    </row>
    <row r="625" spans="1:17" x14ac:dyDescent="0.25">
      <c r="A625">
        <f t="shared" si="80"/>
        <v>6.8399999999998977</v>
      </c>
      <c r="B625">
        <f>Main!$B$19/A625</f>
        <v>0.73099415204679452</v>
      </c>
      <c r="D625" s="161">
        <f t="shared" si="73"/>
        <v>0.73099415204679452</v>
      </c>
      <c r="E625" s="161">
        <f>-B625*Main!$B$18-2*Main!$B$18*loop_gain!$B$17*loop_gain!$B$18</f>
        <v>-175.09192982456153</v>
      </c>
      <c r="F625" s="161">
        <f>2*Main!$B$18*loop_gain!$B$17*loop_gain!$B$18*Helper_calcs!$B$14*Current_limit!B625</f>
        <v>474.15789473684913</v>
      </c>
      <c r="G625" s="161">
        <f t="shared" si="75"/>
        <v>2.7393805398728035</v>
      </c>
      <c r="H625" s="161">
        <f>(Main!$B$18-Current_limit!G625)*Current_limit!G625/(Main!$B$18*loop_gain!$B$17*loop_gain!$B$18)</f>
        <v>0.30505484290812684</v>
      </c>
      <c r="I625" s="161">
        <f t="shared" si="76"/>
        <v>3.594945157091876</v>
      </c>
      <c r="J625" s="161"/>
      <c r="K625" s="163">
        <f>IF(A625&gt;$B$15,IF(I625&gt;Helper_calcs!$B$15,23,3),0)</f>
        <v>23</v>
      </c>
      <c r="L625" s="162">
        <f t="shared" si="74"/>
        <v>2</v>
      </c>
      <c r="M625" s="162">
        <f t="shared" si="77"/>
        <v>2</v>
      </c>
      <c r="N625" s="161">
        <f t="shared" si="78"/>
        <v>3.55</v>
      </c>
      <c r="O625" s="161">
        <f t="shared" si="79"/>
        <v>2.5950292397661205</v>
      </c>
      <c r="P625" s="149">
        <f>IF(OR(M625=0,M625=3),loop_gain!$B$18,IF(Current_limit!M625=1,Current_limit!$B$12/(2*(Current_limit!N625-Helper_calcs!$B$15)),IF(OR(M625=2,M625=23),(Main!$B$18-Current_limit!O625)*Current_limit!O625/(Main!$B$18*loop_gain!$B$17*(Helper_calcs!$B$14-Helper_calcs!$B$15)),x)))</f>
        <v>880453.61190304218</v>
      </c>
      <c r="Q625" s="161"/>
    </row>
    <row r="626" spans="1:17" x14ac:dyDescent="0.25">
      <c r="A626">
        <f t="shared" si="80"/>
        <v>6.8499999999998975</v>
      </c>
      <c r="B626">
        <f>Main!$B$19/A626</f>
        <v>0.72992700729928095</v>
      </c>
      <c r="D626" s="161">
        <f t="shared" si="73"/>
        <v>0.72992700729928095</v>
      </c>
      <c r="E626" s="161">
        <f>-B626*Main!$B$18-2*Main!$B$18*loop_gain!$B$17*loop_gain!$B$18</f>
        <v>-175.07912408759137</v>
      </c>
      <c r="F626" s="161">
        <f>2*Main!$B$18*loop_gain!$B$17*loop_gain!$B$18*Helper_calcs!$B$14*Current_limit!B626</f>
        <v>473.46569343066392</v>
      </c>
      <c r="G626" s="161">
        <f t="shared" si="75"/>
        <v>2.7354927771290556</v>
      </c>
      <c r="H626" s="161">
        <f>(Main!$B$18-Current_limit!G626)*Current_limit!G626/(Main!$B$18*loop_gain!$B$17*loop_gain!$B$18)</f>
        <v>0.30474979066646751</v>
      </c>
      <c r="I626" s="161">
        <f t="shared" si="76"/>
        <v>3.5952502093335164</v>
      </c>
      <c r="J626" s="161"/>
      <c r="K626" s="163">
        <f>IF(A626&gt;$B$15,IF(I626&gt;Helper_calcs!$B$15,23,3),0)</f>
        <v>23</v>
      </c>
      <c r="L626" s="162">
        <f t="shared" si="74"/>
        <v>2</v>
      </c>
      <c r="M626" s="162">
        <f t="shared" si="77"/>
        <v>2</v>
      </c>
      <c r="N626" s="161">
        <f t="shared" si="78"/>
        <v>3.55</v>
      </c>
      <c r="O626" s="161">
        <f t="shared" si="79"/>
        <v>2.5912408759124474</v>
      </c>
      <c r="P626" s="149">
        <f>IF(OR(M626=0,M626=3),loop_gain!$B$18,IF(Current_limit!M626=1,Current_limit!$B$12/(2*(Current_limit!N626-Helper_calcs!$B$15)),IF(OR(M626=2,M626=23),(Main!$B$18-Current_limit!O626)*Current_limit!O626/(Main!$B$18*loop_gain!$B$17*(Helper_calcs!$B$14-Helper_calcs!$B$15)),x)))</f>
        <v>879522.41103715275</v>
      </c>
      <c r="Q626" s="161"/>
    </row>
    <row r="627" spans="1:17" x14ac:dyDescent="0.25">
      <c r="A627">
        <f t="shared" si="80"/>
        <v>6.8599999999998973</v>
      </c>
      <c r="B627">
        <f>Main!$B$19/A627</f>
        <v>0.72886297376094389</v>
      </c>
      <c r="D627" s="161">
        <f t="shared" si="73"/>
        <v>0.72886297376094389</v>
      </c>
      <c r="E627" s="161">
        <f>-B627*Main!$B$18-2*Main!$B$18*loop_gain!$B$17*loop_gain!$B$18</f>
        <v>-175.06635568513133</v>
      </c>
      <c r="F627" s="161">
        <f>2*Main!$B$18*loop_gain!$B$17*loop_gain!$B$18*Helper_calcs!$B$14*Current_limit!B627</f>
        <v>472.77551020408868</v>
      </c>
      <c r="G627" s="161">
        <f t="shared" si="75"/>
        <v>2.7316161621061639</v>
      </c>
      <c r="H627" s="161">
        <f>(Main!$B$18-Current_limit!G627)*Current_limit!G627/(Main!$B$18*loop_gain!$B$17*loop_gain!$B$18)</f>
        <v>0.30444525118078836</v>
      </c>
      <c r="I627" s="161">
        <f t="shared" si="76"/>
        <v>3.5955547488192061</v>
      </c>
      <c r="J627" s="161"/>
      <c r="K627" s="163">
        <f>IF(A627&gt;$B$15,IF(I627&gt;Helper_calcs!$B$15,23,3),0)</f>
        <v>23</v>
      </c>
      <c r="L627" s="162">
        <f t="shared" si="74"/>
        <v>2</v>
      </c>
      <c r="M627" s="162">
        <f t="shared" si="77"/>
        <v>2</v>
      </c>
      <c r="N627" s="161">
        <f t="shared" si="78"/>
        <v>3.55</v>
      </c>
      <c r="O627" s="161">
        <f t="shared" si="79"/>
        <v>2.5874635568513509</v>
      </c>
      <c r="P627" s="149">
        <f>IF(OR(M627=0,M627=3),loop_gain!$B$18,IF(Current_limit!M627=1,Current_limit!$B$12/(2*(Current_limit!N627-Helper_calcs!$B$15)),IF(OR(M627=2,M627=23),(Main!$B$18-Current_limit!O627)*Current_limit!O627/(Main!$B$18*loop_gain!$B$17*(Helper_calcs!$B$14-Helper_calcs!$B$15)),x)))</f>
        <v>878592.8940902733</v>
      </c>
      <c r="Q627" s="161"/>
    </row>
    <row r="628" spans="1:17" x14ac:dyDescent="0.25">
      <c r="A628">
        <f t="shared" si="80"/>
        <v>6.8699999999998971</v>
      </c>
      <c r="B628">
        <f>Main!$B$19/A628</f>
        <v>0.72780203784571684</v>
      </c>
      <c r="D628" s="161">
        <f t="shared" si="73"/>
        <v>0.72780203784571684</v>
      </c>
      <c r="E628" s="161">
        <f>-B628*Main!$B$18-2*Main!$B$18*loop_gain!$B$17*loop_gain!$B$18</f>
        <v>-175.0536244541486</v>
      </c>
      <c r="F628" s="161">
        <f>2*Main!$B$18*loop_gain!$B$17*loop_gain!$B$18*Helper_calcs!$B$14*Current_limit!B628</f>
        <v>472.08733624454845</v>
      </c>
      <c r="G628" s="161">
        <f t="shared" si="75"/>
        <v>2.7277506463763421</v>
      </c>
      <c r="H628" s="161">
        <f>(Main!$B$18-Current_limit!G628)*Current_limit!G628/(Main!$B$18*loop_gain!$B$17*loop_gain!$B$18)</f>
        <v>0.30414122375793112</v>
      </c>
      <c r="I628" s="161">
        <f t="shared" si="76"/>
        <v>3.5958587762420726</v>
      </c>
      <c r="J628" s="161"/>
      <c r="K628" s="163">
        <f>IF(A628&gt;$B$15,IF(I628&gt;Helper_calcs!$B$15,23,3),0)</f>
        <v>23</v>
      </c>
      <c r="L628" s="162">
        <f t="shared" si="74"/>
        <v>2</v>
      </c>
      <c r="M628" s="162">
        <f t="shared" si="77"/>
        <v>2</v>
      </c>
      <c r="N628" s="161">
        <f t="shared" si="78"/>
        <v>3.55</v>
      </c>
      <c r="O628" s="161">
        <f t="shared" si="79"/>
        <v>2.5836972343522948</v>
      </c>
      <c r="P628" s="149">
        <f>IF(OR(M628=0,M628=3),loop_gain!$B$18,IF(Current_limit!M628=1,Current_limit!$B$12/(2*(Current_limit!N628-Helper_calcs!$B$15)),IF(OR(M628=2,M628=23),(Main!$B$18-Current_limit!O628)*Current_limit!O628/(Main!$B$18*loop_gain!$B$17*(Helper_calcs!$B$14-Helper_calcs!$B$15)),x)))</f>
        <v>877665.05820446799</v>
      </c>
      <c r="Q628" s="161"/>
    </row>
    <row r="629" spans="1:17" x14ac:dyDescent="0.25">
      <c r="A629">
        <f t="shared" si="80"/>
        <v>6.8799999999998969</v>
      </c>
      <c r="B629">
        <f>Main!$B$19/A629</f>
        <v>0.72674418604652247</v>
      </c>
      <c r="D629" s="161">
        <f t="shared" si="73"/>
        <v>0.72674418604652247</v>
      </c>
      <c r="E629" s="161">
        <f>-B629*Main!$B$18-2*Main!$B$18*loop_gain!$B$17*loop_gain!$B$18</f>
        <v>-175.04093023255825</v>
      </c>
      <c r="F629" s="161">
        <f>2*Main!$B$18*loop_gain!$B$17*loop_gain!$B$18*Helper_calcs!$B$14*Current_limit!B629</f>
        <v>471.40116279070463</v>
      </c>
      <c r="G629" s="161">
        <f t="shared" si="75"/>
        <v>2.7238961817950407</v>
      </c>
      <c r="H629" s="161">
        <f>(Main!$B$18-Current_limit!G629)*Current_limit!G629/(Main!$B$18*loop_gain!$B$17*loop_gain!$B$18)</f>
        <v>0.30383770770013091</v>
      </c>
      <c r="I629" s="161">
        <f t="shared" si="76"/>
        <v>3.5961622922998546</v>
      </c>
      <c r="J629" s="161"/>
      <c r="K629" s="163">
        <f>IF(A629&gt;$B$15,IF(I629&gt;Helper_calcs!$B$15,23,3),0)</f>
        <v>23</v>
      </c>
      <c r="L629" s="162">
        <f t="shared" si="74"/>
        <v>2</v>
      </c>
      <c r="M629" s="162">
        <f t="shared" si="77"/>
        <v>2</v>
      </c>
      <c r="N629" s="161">
        <f t="shared" si="78"/>
        <v>3.55</v>
      </c>
      <c r="O629" s="161">
        <f t="shared" si="79"/>
        <v>2.5799418604651545</v>
      </c>
      <c r="P629" s="149">
        <f>IF(OR(M629=0,M629=3),loop_gain!$B$18,IF(Current_limit!M629=1,Current_limit!$B$12/(2*(Current_limit!N629-Helper_calcs!$B$15)),IF(OR(M629=2,M629=23),(Main!$B$18-Current_limit!O629)*Current_limit!O629/(Main!$B$18*loop_gain!$B$17*(Helper_calcs!$B$14-Helper_calcs!$B$15)),x)))</f>
        <v>876738.90051231813</v>
      </c>
      <c r="Q629" s="161"/>
    </row>
    <row r="630" spans="1:17" x14ac:dyDescent="0.25">
      <c r="A630">
        <f t="shared" si="80"/>
        <v>6.8899999999998967</v>
      </c>
      <c r="B630">
        <f>Main!$B$19/A630</f>
        <v>0.7256894049346988</v>
      </c>
      <c r="D630" s="161">
        <f t="shared" si="73"/>
        <v>0.7256894049346988</v>
      </c>
      <c r="E630" s="161">
        <f>-B630*Main!$B$18-2*Main!$B$18*loop_gain!$B$17*loop_gain!$B$18</f>
        <v>-175.02827285921637</v>
      </c>
      <c r="F630" s="161">
        <f>2*Main!$B$18*loop_gain!$B$17*loop_gain!$B$18*Helper_calcs!$B$14*Current_limit!B630</f>
        <v>470.71698113208242</v>
      </c>
      <c r="G630" s="161">
        <f t="shared" si="75"/>
        <v>2.7200527204989102</v>
      </c>
      <c r="H630" s="161">
        <f>(Main!$B$18-Current_limit!G630)*Current_limit!G630/(Main!$B$18*loop_gain!$B$17*loop_gain!$B$18)</f>
        <v>0.30353470230511548</v>
      </c>
      <c r="I630" s="161">
        <f t="shared" si="76"/>
        <v>3.5964652976948845</v>
      </c>
      <c r="J630" s="161"/>
      <c r="K630" s="163">
        <f>IF(A630&gt;$B$15,IF(I630&gt;Helper_calcs!$B$15,23,3),0)</f>
        <v>23</v>
      </c>
      <c r="L630" s="162">
        <f t="shared" si="74"/>
        <v>2</v>
      </c>
      <c r="M630" s="162">
        <f t="shared" si="77"/>
        <v>2</v>
      </c>
      <c r="N630" s="161">
        <f t="shared" si="78"/>
        <v>3.55</v>
      </c>
      <c r="O630" s="161">
        <f t="shared" si="79"/>
        <v>2.5761973875181807</v>
      </c>
      <c r="P630" s="149">
        <f>IF(OR(M630=0,M630=3),loop_gain!$B$18,IF(Current_limit!M630=1,Current_limit!$B$12/(2*(Current_limit!N630-Helper_calcs!$B$15)),IF(OR(M630=2,M630=23),(Main!$B$18-Current_limit!O630)*Current_limit!O630/(Main!$B$18*loop_gain!$B$17*(Helper_calcs!$B$14-Helper_calcs!$B$15)),x)))</f>
        <v>875814.41813718167</v>
      </c>
      <c r="Q630" s="161"/>
    </row>
    <row r="631" spans="1:17" x14ac:dyDescent="0.25">
      <c r="A631">
        <f t="shared" si="80"/>
        <v>6.8999999999998964</v>
      </c>
      <c r="B631">
        <f>Main!$B$19/A631</f>
        <v>0.72463768115943117</v>
      </c>
      <c r="D631" s="161">
        <f t="shared" si="73"/>
        <v>0.72463768115943117</v>
      </c>
      <c r="E631" s="161">
        <f>-B631*Main!$B$18-2*Main!$B$18*loop_gain!$B$17*loop_gain!$B$18</f>
        <v>-175.01565217391317</v>
      </c>
      <c r="F631" s="161">
        <f>2*Main!$B$18*loop_gain!$B$17*loop_gain!$B$18*Helper_calcs!$B$14*Current_limit!B631</f>
        <v>470.03478260870264</v>
      </c>
      <c r="G631" s="161">
        <f t="shared" si="75"/>
        <v>2.7162202149035952</v>
      </c>
      <c r="H631" s="161">
        <f>(Main!$B$18-Current_limit!G631)*Current_limit!G631/(Main!$B$18*loop_gain!$B$17*loop_gain!$B$18)</f>
        <v>0.30323220686618818</v>
      </c>
      <c r="I631" s="161">
        <f t="shared" si="76"/>
        <v>3.5967677931338109</v>
      </c>
      <c r="J631" s="161"/>
      <c r="K631" s="163">
        <f>IF(A631&gt;$B$15,IF(I631&gt;Helper_calcs!$B$15,23,3),0)</f>
        <v>23</v>
      </c>
      <c r="L631" s="162">
        <f t="shared" si="74"/>
        <v>2</v>
      </c>
      <c r="M631" s="162">
        <f t="shared" si="77"/>
        <v>2</v>
      </c>
      <c r="N631" s="161">
        <f t="shared" si="78"/>
        <v>3.55</v>
      </c>
      <c r="O631" s="161">
        <f t="shared" si="79"/>
        <v>2.5724637681159805</v>
      </c>
      <c r="P631" s="149">
        <f>IF(OR(M631=0,M631=3),loop_gain!$B$18,IF(Current_limit!M631=1,Current_limit!$B$12/(2*(Current_limit!N631-Helper_calcs!$B$15)),IF(OR(M631=2,M631=23),(Main!$B$18-Current_limit!O631)*Current_limit!O631/(Main!$B$18*loop_gain!$B$17*(Helper_calcs!$B$14-Helper_calcs!$B$15)),x)))</f>
        <v>874891.60819344549</v>
      </c>
      <c r="Q631" s="161"/>
    </row>
    <row r="632" spans="1:17" x14ac:dyDescent="0.25">
      <c r="A632">
        <f t="shared" si="80"/>
        <v>6.9099999999998962</v>
      </c>
      <c r="B632">
        <f>Main!$B$19/A632</f>
        <v>0.72358900144718885</v>
      </c>
      <c r="D632" s="161">
        <f t="shared" si="73"/>
        <v>0.72358900144718885</v>
      </c>
      <c r="E632" s="161">
        <f>-B632*Main!$B$18-2*Main!$B$18*loop_gain!$B$17*loop_gain!$B$18</f>
        <v>-175.00306801736627</v>
      </c>
      <c r="F632" s="161">
        <f>2*Main!$B$18*loop_gain!$B$17*loop_gain!$B$18*Helper_calcs!$B$14*Current_limit!B632</f>
        <v>469.35455861071608</v>
      </c>
      <c r="G632" s="161">
        <f t="shared" si="75"/>
        <v>2.7123986177018087</v>
      </c>
      <c r="H632" s="161">
        <f>(Main!$B$18-Current_limit!G632)*Current_limit!G632/(Main!$B$18*loop_gain!$B$17*loop_gain!$B$18)</f>
        <v>0.30293022067233072</v>
      </c>
      <c r="I632" s="161">
        <f t="shared" si="76"/>
        <v>3.5970697793276778</v>
      </c>
      <c r="J632" s="161"/>
      <c r="K632" s="163">
        <f>IF(A632&gt;$B$15,IF(I632&gt;Helper_calcs!$B$15,23,3),0)</f>
        <v>23</v>
      </c>
      <c r="L632" s="162">
        <f t="shared" si="74"/>
        <v>2</v>
      </c>
      <c r="M632" s="162">
        <f t="shared" si="77"/>
        <v>2</v>
      </c>
      <c r="N632" s="161">
        <f t="shared" si="78"/>
        <v>3.55</v>
      </c>
      <c r="O632" s="161">
        <f t="shared" si="79"/>
        <v>2.5687409551375202</v>
      </c>
      <c r="P632" s="149">
        <f>IF(OR(M632=0,M632=3),loop_gain!$B$18,IF(Current_limit!M632=1,Current_limit!$B$12/(2*(Current_limit!N632-Helper_calcs!$B$15)),IF(OR(M632=2,M632=23),(Main!$B$18-Current_limit!O632)*Current_limit!O632/(Main!$B$18*loop_gain!$B$17*(Helper_calcs!$B$14-Helper_calcs!$B$15)),x)))</f>
        <v>873970.46778677602</v>
      </c>
      <c r="Q632" s="161"/>
    </row>
    <row r="633" spans="1:17" x14ac:dyDescent="0.25">
      <c r="A633">
        <f t="shared" si="80"/>
        <v>6.919999999999896</v>
      </c>
      <c r="B633">
        <f>Main!$B$19/A633</f>
        <v>0.72254335260116698</v>
      </c>
      <c r="D633" s="161">
        <f t="shared" si="73"/>
        <v>0.72254335260116698</v>
      </c>
      <c r="E633" s="161">
        <f>-B633*Main!$B$18-2*Main!$B$18*loop_gain!$B$17*loop_gain!$B$18</f>
        <v>-174.99052023121399</v>
      </c>
      <c r="F633" s="161">
        <f>2*Main!$B$18*loop_gain!$B$17*loop_gain!$B$18*Helper_calcs!$B$14*Current_limit!B633</f>
        <v>468.67630057804172</v>
      </c>
      <c r="G633" s="161">
        <f t="shared" si="75"/>
        <v>2.7085878818612059</v>
      </c>
      <c r="H633" s="161">
        <f>(Main!$B$18-Current_limit!G633)*Current_limit!G633/(Main!$B$18*loop_gain!$B$17*loop_gain!$B$18)</f>
        <v>0.3026287430082864</v>
      </c>
      <c r="I633" s="161">
        <f t="shared" si="76"/>
        <v>3.5973712569917091</v>
      </c>
      <c r="J633" s="161"/>
      <c r="K633" s="163">
        <f>IF(A633&gt;$B$15,IF(I633&gt;Helper_calcs!$B$15,23,3),0)</f>
        <v>23</v>
      </c>
      <c r="L633" s="162">
        <f t="shared" si="74"/>
        <v>2</v>
      </c>
      <c r="M633" s="162">
        <f t="shared" si="77"/>
        <v>2</v>
      </c>
      <c r="N633" s="161">
        <f t="shared" si="78"/>
        <v>3.55</v>
      </c>
      <c r="O633" s="161">
        <f t="shared" si="79"/>
        <v>2.5650289017341428</v>
      </c>
      <c r="P633" s="149">
        <f>IF(OR(M633=0,M633=3),loop_gain!$B$18,IF(Current_limit!M633=1,Current_limit!$B$12/(2*(Current_limit!N633-Helper_calcs!$B$15)),IF(OR(M633=2,M633=23),(Main!$B$18-Current_limit!O633)*Current_limit!O633/(Main!$B$18*loop_gain!$B$17*(Helper_calcs!$B$14-Helper_calcs!$B$15)),x)))</f>
        <v>873050.99401436723</v>
      </c>
      <c r="Q633" s="161"/>
    </row>
    <row r="634" spans="1:17" x14ac:dyDescent="0.25">
      <c r="A634">
        <f t="shared" si="80"/>
        <v>6.9299999999998958</v>
      </c>
      <c r="B634">
        <f>Main!$B$19/A634</f>
        <v>0.7215007215007323</v>
      </c>
      <c r="D634" s="161">
        <f t="shared" si="73"/>
        <v>0.7215007215007323</v>
      </c>
      <c r="E634" s="161">
        <f>-B634*Main!$B$18-2*Main!$B$18*loop_gain!$B$17*loop_gain!$B$18</f>
        <v>-174.97800865800878</v>
      </c>
      <c r="F634" s="161">
        <f>2*Main!$B$18*loop_gain!$B$17*loop_gain!$B$18*Helper_calcs!$B$14*Current_limit!B634</f>
        <v>468.00000000000693</v>
      </c>
      <c r="G634" s="161">
        <f t="shared" si="75"/>
        <v>2.7047879606224483</v>
      </c>
      <c r="H634" s="161">
        <f>(Main!$B$18-Current_limit!G634)*Current_limit!G634/(Main!$B$18*loop_gain!$B$17*loop_gain!$B$18)</f>
        <v>0.30232777315465648</v>
      </c>
      <c r="I634" s="161">
        <f t="shared" si="76"/>
        <v>3.5976722268453289</v>
      </c>
      <c r="J634" s="161"/>
      <c r="K634" s="163">
        <f>IF(A634&gt;$B$15,IF(I634&gt;Helper_calcs!$B$15,23,3),0)</f>
        <v>23</v>
      </c>
      <c r="L634" s="162">
        <f t="shared" si="74"/>
        <v>2</v>
      </c>
      <c r="M634" s="162">
        <f t="shared" si="77"/>
        <v>2</v>
      </c>
      <c r="N634" s="161">
        <f t="shared" si="78"/>
        <v>3.55</v>
      </c>
      <c r="O634" s="161">
        <f t="shared" si="79"/>
        <v>2.5613275613275994</v>
      </c>
      <c r="P634" s="149">
        <f>IF(OR(M634=0,M634=3),loop_gain!$B$18,IF(Current_limit!M634=1,Current_limit!$B$12/(2*(Current_limit!N634-Helper_calcs!$B$15)),IF(OR(M634=2,M634=23),(Main!$B$18-Current_limit!O634)*Current_limit!O634/(Main!$B$18*loop_gain!$B$17*(Helper_calcs!$B$14-Helper_calcs!$B$15)),x)))</f>
        <v>872133.18396518088</v>
      </c>
      <c r="Q634" s="161"/>
    </row>
    <row r="635" spans="1:17" x14ac:dyDescent="0.25">
      <c r="A635">
        <f t="shared" si="80"/>
        <v>6.9399999999998956</v>
      </c>
      <c r="B635">
        <f>Main!$B$19/A635</f>
        <v>0.72046109510087541</v>
      </c>
      <c r="D635" s="161">
        <f t="shared" si="73"/>
        <v>0.72046109510087541</v>
      </c>
      <c r="E635" s="161">
        <f>-B635*Main!$B$18-2*Main!$B$18*loop_gain!$B$17*loop_gain!$B$18</f>
        <v>-174.9655331412105</v>
      </c>
      <c r="F635" s="161">
        <f>2*Main!$B$18*loop_gain!$B$17*loop_gain!$B$18*Helper_calcs!$B$14*Current_limit!B635</f>
        <v>467.3256484149926</v>
      </c>
      <c r="G635" s="161">
        <f t="shared" si="75"/>
        <v>2.7009988074971556</v>
      </c>
      <c r="H635" s="161">
        <f>(Main!$B$18-Current_limit!G635)*Current_limit!G635/(Main!$B$18*loop_gain!$B$17*loop_gain!$B$18)</f>
        <v>0.30202731038798475</v>
      </c>
      <c r="I635" s="161">
        <f t="shared" si="76"/>
        <v>3.597972689612003</v>
      </c>
      <c r="J635" s="161"/>
      <c r="K635" s="163">
        <f>IF(A635&gt;$B$15,IF(I635&gt;Helper_calcs!$B$15,23,3),0)</f>
        <v>23</v>
      </c>
      <c r="L635" s="162">
        <f t="shared" si="74"/>
        <v>2</v>
      </c>
      <c r="M635" s="162">
        <f t="shared" si="77"/>
        <v>2</v>
      </c>
      <c r="N635" s="161">
        <f t="shared" si="78"/>
        <v>3.55</v>
      </c>
      <c r="O635" s="161">
        <f t="shared" si="79"/>
        <v>2.5576368876081075</v>
      </c>
      <c r="P635" s="149">
        <f>IF(OR(M635=0,M635=3),loop_gain!$B$18,IF(Current_limit!M635=1,Current_limit!$B$12/(2*(Current_limit!N635-Helper_calcs!$B$15)),IF(OR(M635=2,M635=23),(Main!$B$18-Current_limit!O635)*Current_limit!O635/(Main!$B$18*loop_gain!$B$17*(Helper_calcs!$B$14-Helper_calcs!$B$15)),x)))</f>
        <v>871217.03472018801</v>
      </c>
      <c r="Q635" s="161"/>
    </row>
    <row r="636" spans="1:17" x14ac:dyDescent="0.25">
      <c r="A636">
        <f t="shared" si="80"/>
        <v>6.9499999999998954</v>
      </c>
      <c r="B636">
        <f>Main!$B$19/A636</f>
        <v>0.71942446043166552</v>
      </c>
      <c r="D636" s="161">
        <f t="shared" si="73"/>
        <v>0.71942446043166552</v>
      </c>
      <c r="E636" s="161">
        <f>-B636*Main!$B$18-2*Main!$B$18*loop_gain!$B$17*loop_gain!$B$18</f>
        <v>-174.95309352517998</v>
      </c>
      <c r="F636" s="161">
        <f>2*Main!$B$18*loop_gain!$B$17*loop_gain!$B$18*Helper_calcs!$B$14*Current_limit!B636</f>
        <v>466.65323741007893</v>
      </c>
      <c r="G636" s="161">
        <f t="shared" si="75"/>
        <v>2.6972203762659235</v>
      </c>
      <c r="H636" s="161">
        <f>(Main!$B$18-Current_limit!G636)*Current_limit!G636/(Main!$B$18*loop_gain!$B$17*loop_gain!$B$18)</f>
        <v>0.3017273539808441</v>
      </c>
      <c r="I636" s="161">
        <f t="shared" si="76"/>
        <v>3.5982726460191548</v>
      </c>
      <c r="J636" s="161"/>
      <c r="K636" s="163">
        <f>IF(A636&gt;$B$15,IF(I636&gt;Helper_calcs!$B$15,23,3),0)</f>
        <v>23</v>
      </c>
      <c r="L636" s="162">
        <f t="shared" si="74"/>
        <v>2</v>
      </c>
      <c r="M636" s="162">
        <f t="shared" si="77"/>
        <v>2</v>
      </c>
      <c r="N636" s="161">
        <f t="shared" si="78"/>
        <v>3.55</v>
      </c>
      <c r="O636" s="161">
        <f t="shared" si="79"/>
        <v>2.5539568345324124</v>
      </c>
      <c r="P636" s="149">
        <f>IF(OR(M636=0,M636=3),loop_gain!$B$18,IF(Current_limit!M636=1,Current_limit!$B$12/(2*(Current_limit!N636-Helper_calcs!$B$15)),IF(OR(M636=2,M636=23),(Main!$B$18-Current_limit!O636)*Current_limit!O636/(Main!$B$18*loop_gain!$B$17*(Helper_calcs!$B$14-Helper_calcs!$B$15)),x)))</f>
        <v>870302.5433526024</v>
      </c>
      <c r="Q636" s="161"/>
    </row>
    <row r="637" spans="1:17" x14ac:dyDescent="0.25">
      <c r="A637">
        <f t="shared" si="80"/>
        <v>6.9599999999998952</v>
      </c>
      <c r="B637">
        <f>Main!$B$19/A637</f>
        <v>0.71839080459771198</v>
      </c>
      <c r="D637" s="161">
        <f t="shared" si="73"/>
        <v>0.71839080459771198</v>
      </c>
      <c r="E637" s="161">
        <f>-B637*Main!$B$18-2*Main!$B$18*loop_gain!$B$17*loop_gain!$B$18</f>
        <v>-174.94068965517255</v>
      </c>
      <c r="F637" s="161">
        <f>2*Main!$B$18*loop_gain!$B$17*loop_gain!$B$18*Helper_calcs!$B$14*Current_limit!B637</f>
        <v>465.98275862069664</v>
      </c>
      <c r="G637" s="161">
        <f t="shared" si="75"/>
        <v>2.6934526209763674</v>
      </c>
      <c r="H637" s="161">
        <f>(Main!$B$18-Current_limit!G637)*Current_limit!G637/(Main!$B$18*loop_gain!$B$17*loop_gain!$B$18)</f>
        <v>0.30142790320192336</v>
      </c>
      <c r="I637" s="161">
        <f t="shared" si="76"/>
        <v>3.598572096798085</v>
      </c>
      <c r="J637" s="161"/>
      <c r="K637" s="163">
        <f>IF(A637&gt;$B$15,IF(I637&gt;Helper_calcs!$B$15,23,3),0)</f>
        <v>23</v>
      </c>
      <c r="L637" s="162">
        <f t="shared" si="74"/>
        <v>2</v>
      </c>
      <c r="M637" s="162">
        <f t="shared" si="77"/>
        <v>2</v>
      </c>
      <c r="N637" s="161">
        <f t="shared" si="78"/>
        <v>3.55</v>
      </c>
      <c r="O637" s="161">
        <f t="shared" si="79"/>
        <v>2.5502873563218773</v>
      </c>
      <c r="P637" s="149">
        <f>IF(OR(M637=0,M637=3),loop_gain!$B$18,IF(Current_limit!M637=1,Current_limit!$B$12/(2*(Current_limit!N637-Helper_calcs!$B$15)),IF(OR(M637=2,M637=23),(Main!$B$18-Current_limit!O637)*Current_limit!O637/(Main!$B$18*loop_gain!$B$17*(Helper_calcs!$B$14-Helper_calcs!$B$15)),x)))</f>
        <v>869389.70692811359</v>
      </c>
      <c r="Q637" s="161"/>
    </row>
    <row r="638" spans="1:17" x14ac:dyDescent="0.25">
      <c r="A638">
        <f t="shared" si="80"/>
        <v>6.9699999999998949</v>
      </c>
      <c r="B638">
        <f>Main!$B$19/A638</f>
        <v>0.71736011477762918</v>
      </c>
      <c r="D638" s="161">
        <f t="shared" si="73"/>
        <v>0.71736011477762918</v>
      </c>
      <c r="E638" s="161">
        <f>-B638*Main!$B$18-2*Main!$B$18*loop_gain!$B$17*loop_gain!$B$18</f>
        <v>-174.92832137733154</v>
      </c>
      <c r="F638" s="161">
        <f>2*Main!$B$18*loop_gain!$B$17*loop_gain!$B$18*Helper_calcs!$B$14*Current_limit!B638</f>
        <v>465.31420373027953</v>
      </c>
      <c r="G638" s="161">
        <f t="shared" si="75"/>
        <v>2.6896954959411681</v>
      </c>
      <c r="H638" s="161">
        <f>(Main!$B$18-Current_limit!G638)*Current_limit!G638/(Main!$B$18*loop_gain!$B$17*loop_gain!$B$18)</f>
        <v>0.30112895731611128</v>
      </c>
      <c r="I638" s="161">
        <f t="shared" si="76"/>
        <v>3.5988710426838764</v>
      </c>
      <c r="J638" s="161"/>
      <c r="K638" s="163">
        <f>IF(A638&gt;$B$15,IF(I638&gt;Helper_calcs!$B$15,23,3),0)</f>
        <v>23</v>
      </c>
      <c r="L638" s="162">
        <f t="shared" si="74"/>
        <v>2</v>
      </c>
      <c r="M638" s="162">
        <f t="shared" si="77"/>
        <v>2</v>
      </c>
      <c r="N638" s="161">
        <f t="shared" si="78"/>
        <v>3.55</v>
      </c>
      <c r="O638" s="161">
        <f t="shared" si="79"/>
        <v>2.5466284074605836</v>
      </c>
      <c r="P638" s="149">
        <f>IF(OR(M638=0,M638=3),loop_gain!$B$18,IF(Current_limit!M638=1,Current_limit!$B$12/(2*(Current_limit!N638-Helper_calcs!$B$15)),IF(OR(M638=2,M638=23),(Main!$B$18-Current_limit!O638)*Current_limit!O638/(Main!$B$18*loop_gain!$B$17*(Helper_calcs!$B$14-Helper_calcs!$B$15)),x)))</f>
        <v>868478.5225051149</v>
      </c>
      <c r="Q638" s="161"/>
    </row>
    <row r="639" spans="1:17" x14ac:dyDescent="0.25">
      <c r="A639">
        <f t="shared" si="80"/>
        <v>6.9799999999998947</v>
      </c>
      <c r="B639">
        <f>Main!$B$19/A639</f>
        <v>0.71633237822350648</v>
      </c>
      <c r="D639" s="161">
        <f t="shared" si="73"/>
        <v>0.71633237822350648</v>
      </c>
      <c r="E639" s="161">
        <f>-B639*Main!$B$18-2*Main!$B$18*loop_gain!$B$17*loop_gain!$B$18</f>
        <v>-174.91598853868209</v>
      </c>
      <c r="F639" s="161">
        <f>2*Main!$B$18*loop_gain!$B$17*loop_gain!$B$18*Helper_calcs!$B$14*Current_limit!B639</f>
        <v>464.64756446992095</v>
      </c>
      <c r="G639" s="161">
        <f t="shared" si="75"/>
        <v>2.6859489557362162</v>
      </c>
      <c r="H639" s="161">
        <f>(Main!$B$18-Current_limit!G639)*Current_limit!G639/(Main!$B$18*loop_gain!$B$17*loop_gain!$B$18)</f>
        <v>0.30083051558458546</v>
      </c>
      <c r="I639" s="161">
        <f t="shared" si="76"/>
        <v>3.599169484415409</v>
      </c>
      <c r="J639" s="161"/>
      <c r="K639" s="163">
        <f>IF(A639&gt;$B$15,IF(I639&gt;Helper_calcs!$B$15,23,3),0)</f>
        <v>23</v>
      </c>
      <c r="L639" s="162">
        <f t="shared" si="74"/>
        <v>2</v>
      </c>
      <c r="M639" s="162">
        <f t="shared" si="77"/>
        <v>2</v>
      </c>
      <c r="N639" s="161">
        <f t="shared" si="78"/>
        <v>3.55</v>
      </c>
      <c r="O639" s="161">
        <f t="shared" si="79"/>
        <v>2.5429799426934481</v>
      </c>
      <c r="P639" s="149">
        <f>IF(OR(M639=0,M639=3),loop_gain!$B$18,IF(Current_limit!M639=1,Current_limit!$B$12/(2*(Current_limit!N639-Helper_calcs!$B$15)),IF(OR(M639=2,M639=23),(Main!$B$18-Current_limit!O639)*Current_limit!O639/(Main!$B$18*loop_gain!$B$17*(Helper_calcs!$B$14-Helper_calcs!$B$15)),x)))</f>
        <v>867568.98713492835</v>
      </c>
      <c r="Q639" s="161"/>
    </row>
    <row r="640" spans="1:17" x14ac:dyDescent="0.25">
      <c r="A640">
        <f t="shared" si="80"/>
        <v>6.9899999999998945</v>
      </c>
      <c r="B640">
        <f>Main!$B$19/A640</f>
        <v>0.71530758226038271</v>
      </c>
      <c r="D640" s="161">
        <f t="shared" si="73"/>
        <v>0.71530758226038271</v>
      </c>
      <c r="E640" s="161">
        <f>-B640*Main!$B$18-2*Main!$B$18*loop_gain!$B$17*loop_gain!$B$18</f>
        <v>-174.90369098712458</v>
      </c>
      <c r="F640" s="161">
        <f>2*Main!$B$18*loop_gain!$B$17*loop_gain!$B$18*Helper_calcs!$B$14*Current_limit!B640</f>
        <v>463.98283261803266</v>
      </c>
      <c r="G640" s="161">
        <f t="shared" si="75"/>
        <v>2.6822129551985734</v>
      </c>
      <c r="H640" s="161">
        <f>(Main!$B$18-Current_limit!G640)*Current_limit!G640/(Main!$B$18*loop_gain!$B$17*loop_gain!$B$18)</f>
        <v>0.3005325772648848</v>
      </c>
      <c r="I640" s="161">
        <f t="shared" si="76"/>
        <v>3.5994674227351071</v>
      </c>
      <c r="J640" s="161"/>
      <c r="K640" s="163">
        <f>IF(A640&gt;$B$15,IF(I640&gt;Helper_calcs!$B$15,23,3),0)</f>
        <v>23</v>
      </c>
      <c r="L640" s="162">
        <f t="shared" si="74"/>
        <v>2</v>
      </c>
      <c r="M640" s="162">
        <f t="shared" si="77"/>
        <v>2</v>
      </c>
      <c r="N640" s="161">
        <f t="shared" si="78"/>
        <v>3.55</v>
      </c>
      <c r="O640" s="161">
        <f t="shared" si="79"/>
        <v>2.5393419170243585</v>
      </c>
      <c r="P640" s="149">
        <f>IF(OR(M640=0,M640=3),loop_gain!$B$18,IF(Current_limit!M640=1,Current_limit!$B$12/(2*(Current_limit!N640-Helper_calcs!$B$15)),IF(OR(M640=2,M640=23),(Main!$B$18-Current_limit!O640)*Current_limit!O640/(Main!$B$18*loop_gain!$B$17*(Helper_calcs!$B$14-Helper_calcs!$B$15)),x)))</f>
        <v>866661.09786202619</v>
      </c>
      <c r="Q640" s="161"/>
    </row>
    <row r="641" spans="1:17" x14ac:dyDescent="0.25">
      <c r="A641">
        <f t="shared" si="80"/>
        <v>6.9999999999998943</v>
      </c>
      <c r="B641">
        <f>Main!$B$19/A641</f>
        <v>0.71428571428572507</v>
      </c>
      <c r="D641" s="161">
        <f t="shared" si="73"/>
        <v>0.71428571428572507</v>
      </c>
      <c r="E641" s="161">
        <f>-B641*Main!$B$18-2*Main!$B$18*loop_gain!$B$17*loop_gain!$B$18</f>
        <v>-174.89142857142869</v>
      </c>
      <c r="F641" s="161">
        <f>2*Main!$B$18*loop_gain!$B$17*loop_gain!$B$18*Helper_calcs!$B$14*Current_limit!B641</f>
        <v>463.32000000000693</v>
      </c>
      <c r="G641" s="161">
        <f t="shared" si="75"/>
        <v>2.6784874494246789</v>
      </c>
      <c r="H641" s="161">
        <f>(Main!$B$18-Current_limit!G641)*Current_limit!G641/(Main!$B$18*loop_gain!$B$17*loop_gain!$B$18)</f>
        <v>0.3002351416109984</v>
      </c>
      <c r="I641" s="161">
        <f t="shared" si="76"/>
        <v>3.5997648583889945</v>
      </c>
      <c r="J641" s="161"/>
      <c r="K641" s="163">
        <f>IF(A641&gt;$B$15,IF(I641&gt;Helper_calcs!$B$15,23,3),0)</f>
        <v>23</v>
      </c>
      <c r="L641" s="162">
        <f t="shared" si="74"/>
        <v>2</v>
      </c>
      <c r="M641" s="162">
        <f t="shared" si="77"/>
        <v>2</v>
      </c>
      <c r="N641" s="161">
        <f t="shared" si="78"/>
        <v>3.55</v>
      </c>
      <c r="O641" s="161">
        <f t="shared" si="79"/>
        <v>2.5357142857143238</v>
      </c>
      <c r="P641" s="149">
        <f>IF(OR(M641=0,M641=3),loop_gain!$B$18,IF(Current_limit!M641=1,Current_limit!$B$12/(2*(Current_limit!N641-Helper_calcs!$B$15)),IF(OR(M641=2,M641=23),(Main!$B$18-Current_limit!O641)*Current_limit!O641/(Main!$B$18*loop_gain!$B$17*(Helper_calcs!$B$14-Helper_calcs!$B$15)),x)))</f>
        <v>865754.85172424931</v>
      </c>
      <c r="Q641" s="161"/>
    </row>
    <row r="642" spans="1:17" x14ac:dyDescent="0.25">
      <c r="K642" s="163"/>
      <c r="L642" s="162"/>
      <c r="M642" s="162"/>
    </row>
    <row r="643" spans="1:17" x14ac:dyDescent="0.25">
      <c r="A643" s="63">
        <f>Main!B20</f>
        <v>2.5</v>
      </c>
      <c r="B643" s="63"/>
      <c r="C643" s="63"/>
      <c r="D643" s="63"/>
      <c r="E643" s="63"/>
      <c r="F643" s="63"/>
      <c r="G643" s="63"/>
      <c r="H643" s="63"/>
      <c r="I643" s="63"/>
      <c r="J643" s="63"/>
      <c r="K643" s="169">
        <f>IF(A643&gt;$B$15,IF(I643&gt;Helper_calcs!$B$15,23,3),0)</f>
        <v>0</v>
      </c>
      <c r="L643" s="170">
        <f t="shared" si="74"/>
        <v>0</v>
      </c>
      <c r="M643" s="170">
        <f t="shared" si="77"/>
        <v>0</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1:D132"/>
  <sheetViews>
    <sheetView tabSelected="1" zoomScaleNormal="100" workbookViewId="0">
      <selection activeCell="B39" sqref="B39"/>
    </sheetView>
  </sheetViews>
  <sheetFormatPr defaultColWidth="9" defaultRowHeight="15.75" x14ac:dyDescent="0.25"/>
  <cols>
    <col min="1" max="1" width="52" style="1" customWidth="1"/>
    <col min="2" max="2" width="19.875" style="1" customWidth="1"/>
    <col min="3" max="3" width="51" style="1" customWidth="1"/>
    <col min="4" max="4" width="12.5" style="1" customWidth="1"/>
    <col min="5" max="16384" width="9" style="1"/>
  </cols>
  <sheetData>
    <row r="11" spans="1:3" ht="21.75" customHeight="1" x14ac:dyDescent="0.25">
      <c r="A11"/>
      <c r="B11" s="111" t="s">
        <v>218</v>
      </c>
    </row>
    <row r="12" spans="1:3" ht="21.75" customHeight="1" x14ac:dyDescent="0.25">
      <c r="B12" s="112" t="s">
        <v>219</v>
      </c>
    </row>
    <row r="14" spans="1:3" ht="15" customHeight="1" x14ac:dyDescent="0.25">
      <c r="A14" s="70"/>
    </row>
    <row r="15" spans="1:3" ht="30.75" customHeight="1" thickBot="1" x14ac:dyDescent="0.3">
      <c r="A15" s="71" t="s">
        <v>190</v>
      </c>
      <c r="B15" s="72"/>
      <c r="C15" s="72"/>
    </row>
    <row r="16" spans="1:3" ht="24.6" customHeight="1" x14ac:dyDescent="0.25">
      <c r="A16" s="94" t="s">
        <v>152</v>
      </c>
      <c r="B16" s="121" t="s">
        <v>227</v>
      </c>
      <c r="C16" s="72"/>
    </row>
    <row r="17" spans="1:4" customFormat="1" x14ac:dyDescent="0.25">
      <c r="A17" s="95"/>
      <c r="B17" s="73"/>
      <c r="C17" s="74"/>
    </row>
    <row r="18" spans="1:4" x14ac:dyDescent="0.25">
      <c r="A18" s="96" t="s">
        <v>0</v>
      </c>
      <c r="B18" s="122">
        <v>12</v>
      </c>
      <c r="C18" s="72" t="str">
        <f>IF(OR(Main!B18&gt;Helper_calcs!B28,Main!B18&lt;Helper_calcs!B27,B18&lt;=B19),"OUT OF RANGE","")</f>
        <v/>
      </c>
    </row>
    <row r="19" spans="1:4" x14ac:dyDescent="0.25">
      <c r="A19" s="96" t="s">
        <v>1</v>
      </c>
      <c r="B19" s="122">
        <v>5</v>
      </c>
      <c r="C19" s="1" t="str">
        <f>IF(OR(B19&gt;=B18,B19&gt;20,B19&lt;1),"OUT OF RANGE","")</f>
        <v/>
      </c>
      <c r="D19" s="120">
        <f>IF(OR(B19=5,B19=1),0,IF(B19=3.3,1,"ADJ"))</f>
        <v>0</v>
      </c>
    </row>
    <row r="20" spans="1:4" x14ac:dyDescent="0.25">
      <c r="A20" s="96" t="s">
        <v>2</v>
      </c>
      <c r="B20" s="122">
        <v>2.5</v>
      </c>
      <c r="C20" s="131" t="str">
        <f>IF(OR(AND(B20&gt;Helper_calcs!B10,Current_limit!B18=0),B20&lt;0),"OUT OF RANGE",IF(Current_limit!B18&lt;&gt;0,"CURRENT LIMIT",""))</f>
        <v/>
      </c>
    </row>
    <row r="21" spans="1:4" x14ac:dyDescent="0.25">
      <c r="A21" s="96" t="s">
        <v>3</v>
      </c>
      <c r="B21" s="122">
        <v>2100</v>
      </c>
      <c r="C21" s="72" t="str">
        <f>IF(OR(B21&gt;2200,B21&lt;250),"OUT OF RANGE","")</f>
        <v/>
      </c>
      <c r="D21" s="120">
        <f>IF(B21=400,0,IF(B21=2100,1,"RT"))</f>
        <v>1</v>
      </c>
    </row>
    <row r="22" spans="1:4" x14ac:dyDescent="0.25">
      <c r="A22" s="96"/>
      <c r="B22" s="75"/>
      <c r="C22" s="72"/>
    </row>
    <row r="23" spans="1:4" ht="16.5" thickBot="1" x14ac:dyDescent="0.3">
      <c r="A23" s="97" t="s">
        <v>221</v>
      </c>
      <c r="B23" s="123">
        <v>0.4</v>
      </c>
      <c r="C23" s="72"/>
    </row>
    <row r="24" spans="1:4" x14ac:dyDescent="0.2">
      <c r="A24" s="74"/>
      <c r="B24" s="74"/>
      <c r="C24" s="74"/>
    </row>
    <row r="25" spans="1:4" x14ac:dyDescent="0.2">
      <c r="A25" s="74"/>
      <c r="B25" s="74"/>
      <c r="C25" s="72"/>
    </row>
    <row r="26" spans="1:4" x14ac:dyDescent="0.25">
      <c r="A26" s="72"/>
      <c r="B26" s="72"/>
      <c r="C26" s="72"/>
    </row>
    <row r="27" spans="1:4" ht="33" customHeight="1" thickBot="1" x14ac:dyDescent="0.3">
      <c r="A27" s="71" t="s">
        <v>191</v>
      </c>
      <c r="B27" s="72"/>
      <c r="C27" s="72"/>
    </row>
    <row r="28" spans="1:4" ht="22.5" customHeight="1" x14ac:dyDescent="0.25">
      <c r="A28" s="94" t="s">
        <v>197</v>
      </c>
      <c r="B28" s="76">
        <f>Helper_calcs!B52*1000000</f>
        <v>1.0683760683760684</v>
      </c>
      <c r="C28" s="77"/>
    </row>
    <row r="29" spans="1:4" ht="27.75" customHeight="1" x14ac:dyDescent="0.25">
      <c r="A29" s="96" t="s">
        <v>139</v>
      </c>
      <c r="B29" s="78">
        <f>Helper_calcs!B50*1000000</f>
        <v>0.88841506751954513</v>
      </c>
      <c r="C29" s="75"/>
    </row>
    <row r="30" spans="1:4" ht="32.25" customHeight="1" thickBot="1" x14ac:dyDescent="0.3">
      <c r="A30" s="98" t="s">
        <v>10</v>
      </c>
      <c r="B30" s="124">
        <v>3.3</v>
      </c>
      <c r="C30" s="79" t="s">
        <v>12</v>
      </c>
      <c r="D30"/>
    </row>
    <row r="31" spans="1:4" ht="17.25" customHeight="1" x14ac:dyDescent="0.25">
      <c r="A31"/>
      <c r="B31"/>
      <c r="C31"/>
      <c r="D31"/>
    </row>
    <row r="32" spans="1:4" ht="16.5" customHeight="1" x14ac:dyDescent="0.25">
      <c r="A32"/>
      <c r="B32"/>
      <c r="C32"/>
      <c r="D32"/>
    </row>
    <row r="33" spans="1:3" x14ac:dyDescent="0.25">
      <c r="A33" s="72"/>
      <c r="B33" s="80"/>
      <c r="C33" s="72"/>
    </row>
    <row r="34" spans="1:3" ht="32.25" customHeight="1" thickBot="1" x14ac:dyDescent="0.3">
      <c r="A34" s="71" t="s">
        <v>192</v>
      </c>
      <c r="B34" s="80"/>
      <c r="C34" s="72"/>
    </row>
    <row r="35" spans="1:3" ht="26.25" customHeight="1" x14ac:dyDescent="0.25">
      <c r="A35" s="94" t="s">
        <v>140</v>
      </c>
      <c r="B35" s="81">
        <f>IF(cout_calc!B22&lt;Main!B36,Main!B36,cout_calc!B22)</f>
        <v>36.013411764705893</v>
      </c>
      <c r="C35" s="77"/>
    </row>
    <row r="36" spans="1:3" ht="24" customHeight="1" x14ac:dyDescent="0.2">
      <c r="A36" s="96" t="s">
        <v>141</v>
      </c>
      <c r="B36" s="117">
        <f>IF(cout_min_calc!B22&lt;8,8,cout_min_calc!B22)</f>
        <v>18.012705882352947</v>
      </c>
      <c r="C36" s="75"/>
    </row>
    <row r="37" spans="1:3" ht="38.25" customHeight="1" x14ac:dyDescent="0.25">
      <c r="A37" s="118" t="s">
        <v>142</v>
      </c>
      <c r="B37" s="125">
        <v>30</v>
      </c>
      <c r="C37" s="118" t="s">
        <v>138</v>
      </c>
    </row>
    <row r="38" spans="1:3" ht="17.25" customHeight="1" x14ac:dyDescent="0.25">
      <c r="A38" s="95"/>
      <c r="B38" s="82"/>
      <c r="C38" s="73"/>
    </row>
    <row r="39" spans="1:3" ht="32.25" customHeight="1" x14ac:dyDescent="0.25">
      <c r="A39" s="96" t="s">
        <v>146</v>
      </c>
      <c r="B39" s="126">
        <v>0</v>
      </c>
      <c r="C39" s="75"/>
    </row>
    <row r="40" spans="1:3" ht="31.5" customHeight="1" thickBot="1" x14ac:dyDescent="0.3">
      <c r="A40" s="97" t="s">
        <v>216</v>
      </c>
      <c r="B40" s="124">
        <v>0</v>
      </c>
      <c r="C40" s="83"/>
    </row>
    <row r="41" spans="1:3" ht="17.25" customHeight="1" x14ac:dyDescent="0.25">
      <c r="A41" s="103"/>
      <c r="B41"/>
      <c r="C41" s="84"/>
    </row>
    <row r="42" spans="1:3" ht="17.25" customHeight="1" x14ac:dyDescent="0.2">
      <c r="A42" s="84"/>
      <c r="B42" s="74"/>
      <c r="C42" s="84"/>
    </row>
    <row r="43" spans="1:3" ht="31.5" customHeight="1" thickBot="1" x14ac:dyDescent="0.25">
      <c r="A43" s="71" t="s">
        <v>194</v>
      </c>
      <c r="B43" s="74"/>
      <c r="C43" s="74"/>
    </row>
    <row r="44" spans="1:3" ht="31.5" customHeight="1" x14ac:dyDescent="0.25">
      <c r="A44" s="94" t="s">
        <v>5</v>
      </c>
      <c r="B44" s="87" t="str">
        <f>IF(D19="ADJ","Enter Value at Right","SHORT")</f>
        <v>SHORT</v>
      </c>
      <c r="C44" s="127">
        <v>100</v>
      </c>
    </row>
    <row r="45" spans="1:3" ht="31.5" customHeight="1" thickBot="1" x14ac:dyDescent="0.3">
      <c r="A45" s="97" t="s">
        <v>6</v>
      </c>
      <c r="B45" s="88" t="str">
        <f>IF(D19="adj",C44/(B19-1),"OPEN")</f>
        <v>OPEN</v>
      </c>
      <c r="C45" s="83"/>
    </row>
    <row r="46" spans="1:3" ht="13.5" customHeight="1" x14ac:dyDescent="0.2">
      <c r="A46" s="84"/>
      <c r="B46" s="74"/>
      <c r="C46" s="84"/>
    </row>
    <row r="47" spans="1:3" ht="16.5" customHeight="1" x14ac:dyDescent="0.2">
      <c r="A47" s="84"/>
      <c r="B47" s="74"/>
      <c r="C47" s="84"/>
    </row>
    <row r="48" spans="1:3" ht="29.25" customHeight="1" thickBot="1" x14ac:dyDescent="0.25">
      <c r="A48" s="71" t="s">
        <v>193</v>
      </c>
      <c r="B48" s="74"/>
      <c r="C48" s="74"/>
    </row>
    <row r="49" spans="1:3" ht="28.5" customHeight="1" x14ac:dyDescent="0.2">
      <c r="A49" s="94" t="s">
        <v>145</v>
      </c>
      <c r="B49" s="85" t="str">
        <f>IF(D19="adj",loop_gain!B26*1000000000000,"N/A")</f>
        <v>N/A</v>
      </c>
      <c r="C49" s="86"/>
    </row>
    <row r="50" spans="1:3" ht="44.25" customHeight="1" thickBot="1" x14ac:dyDescent="0.25">
      <c r="A50" s="98" t="s">
        <v>150</v>
      </c>
      <c r="B50" s="128">
        <v>75</v>
      </c>
      <c r="C50" s="79" t="s">
        <v>138</v>
      </c>
    </row>
    <row r="51" spans="1:3" ht="18" customHeight="1" x14ac:dyDescent="0.2">
      <c r="A51" s="74"/>
      <c r="B51" s="74"/>
      <c r="C51" s="74"/>
    </row>
    <row r="52" spans="1:3" ht="18" customHeight="1" x14ac:dyDescent="0.25"/>
    <row r="53" spans="1:3" ht="15" customHeight="1" x14ac:dyDescent="0.25">
      <c r="A53" s="103"/>
      <c r="B53"/>
      <c r="C53" s="84"/>
    </row>
    <row r="54" spans="1:3" ht="29.25" customHeight="1" thickBot="1" x14ac:dyDescent="0.3">
      <c r="A54" s="71" t="s">
        <v>211</v>
      </c>
      <c r="B54"/>
      <c r="C54" s="84"/>
    </row>
    <row r="55" spans="1:3" ht="34.5" customHeight="1" x14ac:dyDescent="0.2">
      <c r="A55" s="104" t="s">
        <v>212</v>
      </c>
      <c r="B55" s="129">
        <v>40</v>
      </c>
      <c r="C55" s="84"/>
    </row>
    <row r="56" spans="1:3" ht="54" customHeight="1" x14ac:dyDescent="0.2">
      <c r="A56" s="105" t="s">
        <v>213</v>
      </c>
      <c r="B56" s="107">
        <f>Helper_calcs!C43</f>
        <v>32</v>
      </c>
      <c r="C56" s="119" t="s">
        <v>222</v>
      </c>
    </row>
    <row r="57" spans="1:3" ht="48.75" customHeight="1" x14ac:dyDescent="0.2">
      <c r="A57" s="105" t="s">
        <v>214</v>
      </c>
      <c r="B57" s="107">
        <f>Helper_calcs!C44</f>
        <v>6.7287341772151903</v>
      </c>
      <c r="C57" s="119" t="s">
        <v>223</v>
      </c>
    </row>
    <row r="58" spans="1:3" ht="48" customHeight="1" thickBot="1" x14ac:dyDescent="0.25">
      <c r="A58" s="106" t="s">
        <v>215</v>
      </c>
      <c r="B58" s="108">
        <f>Helper_calcs!C45</f>
        <v>5.4075357142857143</v>
      </c>
      <c r="C58" s="119" t="s">
        <v>224</v>
      </c>
    </row>
    <row r="59" spans="1:3" ht="15.75" customHeight="1" x14ac:dyDescent="0.25">
      <c r="A59" s="84"/>
      <c r="C59" s="84"/>
    </row>
    <row r="60" spans="1:3" ht="15.75" customHeight="1" x14ac:dyDescent="0.2">
      <c r="A60" s="84"/>
      <c r="B60" s="74"/>
      <c r="C60" s="84"/>
    </row>
    <row r="61" spans="1:3" ht="18" customHeight="1" x14ac:dyDescent="0.2">
      <c r="A61" s="84"/>
      <c r="B61" s="74"/>
      <c r="C61" s="84"/>
    </row>
    <row r="62" spans="1:3" ht="34.5" customHeight="1" thickBot="1" x14ac:dyDescent="0.25">
      <c r="A62" s="71" t="s">
        <v>195</v>
      </c>
      <c r="B62" s="74"/>
      <c r="C62" s="74"/>
    </row>
    <row r="63" spans="1:3" ht="32.25" customHeight="1" x14ac:dyDescent="0.25">
      <c r="A63" s="94" t="s">
        <v>147</v>
      </c>
      <c r="B63" s="89" t="str">
        <f>IF(D21=0,"VCC",IF(D21=1,"GND",15770/B21))</f>
        <v>GND</v>
      </c>
      <c r="C63" s="72"/>
    </row>
    <row r="64" spans="1:3" ht="26.25" customHeight="1" x14ac:dyDescent="0.25">
      <c r="A64" s="96" t="s">
        <v>4</v>
      </c>
      <c r="B64" s="90" t="str">
        <f>IF(D19=0,"VCC",IF(D19=1,"GND","10k to GND"))</f>
        <v>VCC</v>
      </c>
      <c r="C64" s="72"/>
    </row>
    <row r="65" spans="1:3" x14ac:dyDescent="0.25">
      <c r="A65" s="96"/>
      <c r="B65" s="75"/>
      <c r="C65" s="72"/>
    </row>
    <row r="66" spans="1:3" ht="23.25" customHeight="1" x14ac:dyDescent="0.25">
      <c r="A66" s="96" t="s">
        <v>7</v>
      </c>
      <c r="B66" s="90">
        <v>1</v>
      </c>
      <c r="C66" s="72"/>
    </row>
    <row r="67" spans="1:3" ht="23.25" customHeight="1" x14ac:dyDescent="0.25">
      <c r="A67" s="96" t="s">
        <v>8</v>
      </c>
      <c r="B67" s="90">
        <v>0.22</v>
      </c>
      <c r="C67" s="72"/>
    </row>
    <row r="68" spans="1:3" ht="22.5" customHeight="1" x14ac:dyDescent="0.25">
      <c r="A68" s="96" t="s">
        <v>9</v>
      </c>
      <c r="B68" s="90">
        <v>0.22</v>
      </c>
      <c r="C68" s="72"/>
    </row>
    <row r="69" spans="1:3" ht="26.25" customHeight="1" thickBot="1" x14ac:dyDescent="0.3">
      <c r="A69" s="97" t="s">
        <v>11</v>
      </c>
      <c r="B69" s="91">
        <f>IF(B16=3.5,10,4.7)</f>
        <v>4.7</v>
      </c>
      <c r="C69" s="72"/>
    </row>
    <row r="70" spans="1:3" x14ac:dyDescent="0.25">
      <c r="A70" s="72"/>
      <c r="B70" s="72"/>
      <c r="C70" s="72"/>
    </row>
    <row r="71" spans="1:3" ht="21.75" customHeight="1" x14ac:dyDescent="0.25">
      <c r="A71" s="72"/>
      <c r="B71" s="72"/>
      <c r="C71" s="72"/>
    </row>
    <row r="72" spans="1:3" ht="24" customHeight="1" x14ac:dyDescent="0.25">
      <c r="A72" s="72"/>
      <c r="B72" s="72"/>
      <c r="C72" s="72"/>
    </row>
    <row r="73" spans="1:3" ht="29.25" customHeight="1" thickBot="1" x14ac:dyDescent="0.3">
      <c r="A73" s="71" t="s">
        <v>276</v>
      </c>
      <c r="B73" s="72"/>
      <c r="C73" s="72"/>
    </row>
    <row r="74" spans="1:3" ht="24.75" customHeight="1" x14ac:dyDescent="0.25">
      <c r="A74" s="94" t="s">
        <v>13</v>
      </c>
      <c r="B74" s="76">
        <f>Helper_calcs!B19</f>
        <v>2.7104377104377106</v>
      </c>
      <c r="C74"/>
    </row>
    <row r="75" spans="1:3" ht="27.75" customHeight="1" x14ac:dyDescent="0.25">
      <c r="A75" s="96" t="s">
        <v>14</v>
      </c>
      <c r="B75" s="92">
        <f>Helper_calcs!B20</f>
        <v>2.2895622895622894</v>
      </c>
      <c r="C75"/>
    </row>
    <row r="76" spans="1:3" ht="24.75" customHeight="1" thickBot="1" x14ac:dyDescent="0.3">
      <c r="A76" s="97" t="s">
        <v>15</v>
      </c>
      <c r="B76" s="93">
        <f>Helper_calcs!B18</f>
        <v>0.42087542087542096</v>
      </c>
      <c r="C76"/>
    </row>
    <row r="77" spans="1:3" ht="24.75" customHeight="1" x14ac:dyDescent="0.25">
      <c r="A77" s="103"/>
      <c r="B77"/>
      <c r="C77" s="84"/>
    </row>
    <row r="78" spans="1:3" ht="24.75" customHeight="1" thickBot="1" x14ac:dyDescent="0.3">
      <c r="A78" s="71" t="s">
        <v>196</v>
      </c>
      <c r="B78" s="72"/>
      <c r="C78" s="84"/>
    </row>
    <row r="79" spans="1:3" ht="49.5" customHeight="1" x14ac:dyDescent="0.25">
      <c r="A79" s="94" t="s">
        <v>283</v>
      </c>
      <c r="B79" s="166">
        <f>IF(Current_limit!B16="y",Current_limit!B15,Current_limit!B14)</f>
        <v>3.55</v>
      </c>
      <c r="C79" s="171" t="s">
        <v>286</v>
      </c>
    </row>
    <row r="80" spans="1:3" ht="39" customHeight="1" x14ac:dyDescent="0.25">
      <c r="A80" s="96" t="s">
        <v>284</v>
      </c>
      <c r="B80" s="167">
        <f>Current_limit!B14</f>
        <v>3.55</v>
      </c>
      <c r="C80" s="171" t="s">
        <v>287</v>
      </c>
    </row>
    <row r="81" spans="1:3" ht="51" customHeight="1" thickBot="1" x14ac:dyDescent="0.3">
      <c r="A81" s="97" t="s">
        <v>285</v>
      </c>
      <c r="B81" s="168">
        <f>IF(Current_limit!B16="y",Current_limit!B14,Current_limit!B13)</f>
        <v>3.4104377104377104</v>
      </c>
      <c r="C81" s="172" t="s">
        <v>288</v>
      </c>
    </row>
    <row r="82" spans="1:3" ht="24.75" customHeight="1" x14ac:dyDescent="0.25">
      <c r="A82" s="103"/>
      <c r="B82"/>
      <c r="C82" s="84"/>
    </row>
    <row r="83" spans="1:3" ht="24.75" customHeight="1" x14ac:dyDescent="0.25">
      <c r="A83" s="103"/>
      <c r="B83"/>
      <c r="C83" s="84"/>
    </row>
    <row r="84" spans="1:3" ht="28.5" customHeight="1" thickBot="1" x14ac:dyDescent="0.3">
      <c r="A84" s="71" t="s">
        <v>217</v>
      </c>
      <c r="B84" s="72"/>
      <c r="C84" s="72"/>
    </row>
    <row r="85" spans="1:3" ht="35.25" customHeight="1" x14ac:dyDescent="0.25">
      <c r="A85" s="94" t="s">
        <v>148</v>
      </c>
      <c r="B85" s="109">
        <f>loop_gain!B87/1000</f>
        <v>67.550506272702592</v>
      </c>
      <c r="C85" s="72"/>
    </row>
    <row r="86" spans="1:3" ht="33" customHeight="1" thickBot="1" x14ac:dyDescent="0.3">
      <c r="A86" s="97" t="s">
        <v>149</v>
      </c>
      <c r="B86" s="110">
        <f>loop_gain!B89</f>
        <v>74.19761154954287</v>
      </c>
      <c r="C86" s="72"/>
    </row>
    <row r="87" spans="1:3" ht="30" customHeight="1" x14ac:dyDescent="0.25"/>
    <row r="88" spans="1:3" ht="27" customHeight="1" x14ac:dyDescent="0.25"/>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19" spans="1:2" x14ac:dyDescent="0.25">
      <c r="A119"/>
      <c r="B119"/>
    </row>
    <row r="120" spans="1:2" x14ac:dyDescent="0.25">
      <c r="A120"/>
      <c r="B120"/>
    </row>
    <row r="121" spans="1:2" x14ac:dyDescent="0.25">
      <c r="A121"/>
      <c r="B121"/>
    </row>
    <row r="126" spans="1:2" x14ac:dyDescent="0.25">
      <c r="B126" s="3"/>
    </row>
    <row r="129" spans="2:2" x14ac:dyDescent="0.25">
      <c r="B129" s="2"/>
    </row>
    <row r="130" spans="2:2" x14ac:dyDescent="0.25">
      <c r="B130" s="4"/>
    </row>
    <row r="131" spans="2:2" x14ac:dyDescent="0.25">
      <c r="B131" s="4"/>
    </row>
    <row r="132" spans="2:2" x14ac:dyDescent="0.25">
      <c r="B132" s="2"/>
    </row>
  </sheetData>
  <sheetProtection password="DCA3" sheet="1" objects="1" scenarios="1" selectLockedCells="1"/>
  <conditionalFormatting sqref="C18">
    <cfRule type="expression" dxfId="4" priority="3">
      <formula>$C$18="out of range"</formula>
    </cfRule>
  </conditionalFormatting>
  <conditionalFormatting sqref="C44">
    <cfRule type="expression" dxfId="3" priority="22">
      <formula>$D$19="adj"</formula>
    </cfRule>
  </conditionalFormatting>
  <conditionalFormatting sqref="B50:C50">
    <cfRule type="expression" dxfId="2" priority="23">
      <formula>$D$19&lt;&gt;"adj"</formula>
    </cfRule>
  </conditionalFormatting>
  <conditionalFormatting sqref="C19">
    <cfRule type="expression" dxfId="1" priority="2">
      <formula>$C$19="out of range"</formula>
    </cfRule>
  </conditionalFormatting>
  <conditionalFormatting sqref="C21">
    <cfRule type="expression" dxfId="0" priority="1">
      <formula>$C$21="out of range"</formula>
    </cfRule>
  </conditionalFormatting>
  <dataValidations count="1">
    <dataValidation allowBlank="1" showErrorMessage="1" promptTitle="Maximum Input Voltage" prompt="This is the maximum input voltage before the switching frequency will drop because of the minimum on-time limitation." sqref="A56" xr:uid="{00000000-0002-0000-01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Helper_calcs!$A$6:$A$8</xm:f>
          </x14:formula1>
          <xm:sqref>B16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6:AD242"/>
  <sheetViews>
    <sheetView zoomScaleNormal="100" workbookViewId="0">
      <selection activeCell="B53" sqref="B53"/>
    </sheetView>
  </sheetViews>
  <sheetFormatPr defaultColWidth="9" defaultRowHeight="15" x14ac:dyDescent="0.25"/>
  <cols>
    <col min="1" max="1" width="18" style="12" customWidth="1"/>
    <col min="2" max="2" width="11.125" style="12" customWidth="1"/>
    <col min="3" max="3" width="16.875" style="12" customWidth="1"/>
    <col min="4" max="4" width="16.5" style="12" customWidth="1"/>
    <col min="5" max="5" width="11.75" style="12" customWidth="1"/>
    <col min="6" max="7" width="13" style="12" customWidth="1"/>
    <col min="8" max="8" width="14" style="12" customWidth="1"/>
    <col min="9" max="17" width="13.75" style="12" customWidth="1"/>
    <col min="18" max="18" width="14.25" style="12" customWidth="1"/>
    <col min="19" max="19" width="12.5" style="12" customWidth="1"/>
    <col min="20" max="20" width="15" style="12" customWidth="1"/>
    <col min="21" max="21" width="13.75" style="12" customWidth="1"/>
    <col min="22" max="28" width="11.375" style="12" customWidth="1"/>
    <col min="29" max="29" width="11.875" style="12" customWidth="1"/>
    <col min="30" max="30" width="12.625" style="12" customWidth="1"/>
    <col min="31" max="16384" width="9" style="12"/>
  </cols>
  <sheetData>
    <row r="6" spans="1:3" x14ac:dyDescent="0.25">
      <c r="A6" s="62">
        <v>43906</v>
      </c>
    </row>
    <row r="8" spans="1:3" x14ac:dyDescent="0.25">
      <c r="A8" s="61" t="s">
        <v>189</v>
      </c>
    </row>
    <row r="9" spans="1:3" x14ac:dyDescent="0.25">
      <c r="A9" s="33"/>
    </row>
    <row r="10" spans="1:3" x14ac:dyDescent="0.25">
      <c r="A10" s="33"/>
    </row>
    <row r="11" spans="1:3" x14ac:dyDescent="0.25">
      <c r="A11" s="33"/>
    </row>
    <row r="12" spans="1:3" x14ac:dyDescent="0.25">
      <c r="A12" s="61" t="s">
        <v>183</v>
      </c>
    </row>
    <row r="13" spans="1:3" x14ac:dyDescent="0.25">
      <c r="A13" s="61" t="s">
        <v>184</v>
      </c>
      <c r="B13" s="22">
        <v>1</v>
      </c>
      <c r="C13" s="14" t="s">
        <v>185</v>
      </c>
    </row>
    <row r="16" spans="1:3" x14ac:dyDescent="0.25">
      <c r="A16" s="34" t="s">
        <v>107</v>
      </c>
    </row>
    <row r="17" spans="1:3" x14ac:dyDescent="0.25">
      <c r="A17" s="34" t="s">
        <v>20</v>
      </c>
      <c r="B17" s="12">
        <f>Main!B30*0.000001</f>
        <v>3.2999999999999997E-6</v>
      </c>
    </row>
    <row r="18" spans="1:3" x14ac:dyDescent="0.25">
      <c r="A18" s="34" t="s">
        <v>108</v>
      </c>
      <c r="B18" s="12">
        <f>Main!B21*1000</f>
        <v>2100000</v>
      </c>
    </row>
    <row r="19" spans="1:3" x14ac:dyDescent="0.25">
      <c r="A19" s="34" t="s">
        <v>109</v>
      </c>
      <c r="B19" s="12">
        <f>Main!B37*0.000001</f>
        <v>2.9999999999999997E-5</v>
      </c>
    </row>
    <row r="20" spans="1:3" x14ac:dyDescent="0.25">
      <c r="A20" s="34" t="s">
        <v>39</v>
      </c>
      <c r="B20" s="12">
        <f>Main!B39*0.000001</f>
        <v>0</v>
      </c>
    </row>
    <row r="21" spans="1:3" x14ac:dyDescent="0.25">
      <c r="A21" s="34" t="s">
        <v>40</v>
      </c>
      <c r="B21" s="12">
        <f>Main!B40/1000</f>
        <v>0</v>
      </c>
    </row>
    <row r="22" spans="1:3" x14ac:dyDescent="0.25">
      <c r="A22" s="34" t="s">
        <v>122</v>
      </c>
      <c r="B22" s="12">
        <f>B19+B20</f>
        <v>2.9999999999999997E-5</v>
      </c>
    </row>
    <row r="23" spans="1:3" x14ac:dyDescent="0.25">
      <c r="A23" s="42" t="s">
        <v>144</v>
      </c>
      <c r="B23" s="12">
        <f>Main!B50/1000000000000</f>
        <v>7.5E-11</v>
      </c>
    </row>
    <row r="24" spans="1:3" x14ac:dyDescent="0.25">
      <c r="A24" s="34" t="s">
        <v>110</v>
      </c>
      <c r="B24" s="12">
        <f>Main!C44*1000</f>
        <v>100000</v>
      </c>
    </row>
    <row r="25" spans="1:3" x14ac:dyDescent="0.25">
      <c r="A25" s="34" t="s">
        <v>111</v>
      </c>
      <c r="B25" s="12" t="e">
        <f>Main!B45*1000</f>
        <v>#VALUE!</v>
      </c>
    </row>
    <row r="26" spans="1:3" x14ac:dyDescent="0.25">
      <c r="A26" s="42" t="s">
        <v>143</v>
      </c>
      <c r="B26" s="12">
        <f>1/(6.28*B87*B24)</f>
        <v>2.3572831289668161E-11</v>
      </c>
    </row>
    <row r="27" spans="1:3" x14ac:dyDescent="0.25">
      <c r="A27" s="34"/>
    </row>
    <row r="29" spans="1:3" x14ac:dyDescent="0.25">
      <c r="A29" s="12" t="s">
        <v>41</v>
      </c>
    </row>
    <row r="30" spans="1:3" x14ac:dyDescent="0.25">
      <c r="A30" s="12" t="s">
        <v>42</v>
      </c>
      <c r="B30" s="12">
        <f>Helper_calcs!B23</f>
        <v>4.2</v>
      </c>
      <c r="C30" s="34" t="s">
        <v>112</v>
      </c>
    </row>
    <row r="31" spans="1:3" x14ac:dyDescent="0.25">
      <c r="A31" s="12" t="s">
        <v>43</v>
      </c>
      <c r="B31" s="12">
        <f>Helper_calcs!B24</f>
        <v>2814000</v>
      </c>
      <c r="C31" s="34" t="s">
        <v>113</v>
      </c>
    </row>
    <row r="32" spans="1:3" x14ac:dyDescent="0.25">
      <c r="A32" s="12" t="s">
        <v>44</v>
      </c>
      <c r="B32" s="13">
        <v>1400</v>
      </c>
      <c r="C32" s="34" t="s">
        <v>114</v>
      </c>
    </row>
    <row r="33" spans="1:3" x14ac:dyDescent="0.25">
      <c r="A33" s="12" t="s">
        <v>45</v>
      </c>
      <c r="B33" s="13">
        <v>1.8799999999999999E-3</v>
      </c>
      <c r="C33" s="14" t="s">
        <v>115</v>
      </c>
    </row>
    <row r="34" spans="1:3" x14ac:dyDescent="0.25">
      <c r="A34" s="12" t="s">
        <v>46</v>
      </c>
      <c r="B34" s="13">
        <v>1.2E-5</v>
      </c>
      <c r="C34" s="14" t="s">
        <v>116</v>
      </c>
    </row>
    <row r="35" spans="1:3" x14ac:dyDescent="0.25">
      <c r="A35" s="12" t="s">
        <v>47</v>
      </c>
      <c r="B35" s="13">
        <v>1.275E-7</v>
      </c>
      <c r="C35" s="14" t="s">
        <v>117</v>
      </c>
    </row>
    <row r="36" spans="1:3" x14ac:dyDescent="0.25">
      <c r="A36" s="41" t="s">
        <v>128</v>
      </c>
      <c r="B36" s="12">
        <f>IF(Main!B19=3.3,FB_div!C73,IF(Main!B19=5,FB_div!B73,IF(Main!B19=1,FB_div!E73,FB_div!D73)))</f>
        <v>4.9443999999999996E-6</v>
      </c>
      <c r="C36" s="14" t="s">
        <v>118</v>
      </c>
    </row>
    <row r="37" spans="1:3" x14ac:dyDescent="0.25">
      <c r="A37" s="12" t="s">
        <v>49</v>
      </c>
      <c r="B37" s="12">
        <f>IF(Main!B19=5,FB_div!B69,IF(Main!B19=3.3,FB_div!C69,IF(Main!B19=1,FB_div!E69,FB_div!D69)))</f>
        <v>0</v>
      </c>
      <c r="C37" s="14" t="s">
        <v>121</v>
      </c>
    </row>
    <row r="38" spans="1:3" x14ac:dyDescent="0.25">
      <c r="A38" s="12" t="s">
        <v>50</v>
      </c>
      <c r="B38" s="12">
        <f>IF(Main!B19=5,FB_div!B70,IF(Main!B19=3.3,FB_div!C70,IF(Main!B19=1,FB_div!E70,FB_div!D70)))</f>
        <v>1.7378719243503534E-13</v>
      </c>
      <c r="C38" s="14" t="s">
        <v>121</v>
      </c>
    </row>
    <row r="39" spans="1:3" x14ac:dyDescent="0.25">
      <c r="A39" s="34" t="s">
        <v>119</v>
      </c>
      <c r="B39" s="12">
        <f>IF(Main!B19=5,FB_div!B71,IF(Main!B19=3.3,FB_div!C71,IF(Main!B19=1,FB_div!E71,FB_div!D71)))</f>
        <v>2.1368033510418549E-6</v>
      </c>
      <c r="C39" s="14" t="s">
        <v>121</v>
      </c>
    </row>
    <row r="40" spans="1:3" x14ac:dyDescent="0.25">
      <c r="A40" s="12" t="s">
        <v>51</v>
      </c>
      <c r="B40" s="13">
        <f>EA_para!B35</f>
        <v>6.7501548721570653E-7</v>
      </c>
      <c r="C40" s="14" t="s">
        <v>120</v>
      </c>
    </row>
    <row r="41" spans="1:3" x14ac:dyDescent="0.25">
      <c r="A41" s="41" t="s">
        <v>127</v>
      </c>
      <c r="B41" s="15">
        <f>IF(Main!D19="ADJ",FB_div!D72,0)</f>
        <v>0</v>
      </c>
      <c r="C41" s="14" t="s">
        <v>53</v>
      </c>
    </row>
    <row r="45" spans="1:3" x14ac:dyDescent="0.25">
      <c r="A45" s="12" t="s">
        <v>54</v>
      </c>
    </row>
    <row r="47" spans="1:3" x14ac:dyDescent="0.25">
      <c r="A47" s="12" t="s">
        <v>55</v>
      </c>
      <c r="B47" s="12">
        <f>1/Main!B19</f>
        <v>0.2</v>
      </c>
    </row>
    <row r="48" spans="1:3" x14ac:dyDescent="0.25">
      <c r="A48" s="12" t="s">
        <v>56</v>
      </c>
      <c r="B48" s="12">
        <f>Main!B19/Main!B18</f>
        <v>0.41666666666666669</v>
      </c>
    </row>
    <row r="49" spans="1:4" x14ac:dyDescent="0.25">
      <c r="A49" s="12" t="s">
        <v>57</v>
      </c>
      <c r="B49" s="12">
        <f>1-B48</f>
        <v>0.58333333333333326</v>
      </c>
    </row>
    <row r="50" spans="1:4" x14ac:dyDescent="0.25">
      <c r="A50" s="12" t="s">
        <v>58</v>
      </c>
      <c r="B50" s="12">
        <f>Main!B19/loop_gain!B17</f>
        <v>1515151.5151515154</v>
      </c>
    </row>
    <row r="51" spans="1:4" x14ac:dyDescent="0.25">
      <c r="A51" s="12" t="s">
        <v>59</v>
      </c>
      <c r="B51" s="12">
        <f>(B18*B17)/(0.5-B48+B48*(B31/B50))</f>
        <v>8.0846182263615347</v>
      </c>
    </row>
    <row r="52" spans="1:4" x14ac:dyDescent="0.25">
      <c r="A52" s="12" t="s">
        <v>60</v>
      </c>
      <c r="B52" s="12">
        <f>Main!B19/(Main!B20+0.000003)</f>
        <v>1.9999976000028801</v>
      </c>
    </row>
    <row r="53" spans="1:4" x14ac:dyDescent="0.25">
      <c r="A53" s="12" t="s">
        <v>61</v>
      </c>
      <c r="B53" s="12">
        <f>(B51*B52)/(B51+B52)</f>
        <v>1.6033547859494162</v>
      </c>
    </row>
    <row r="54" spans="1:4" x14ac:dyDescent="0.25">
      <c r="A54" s="12" t="s">
        <v>62</v>
      </c>
      <c r="B54" s="13">
        <f>B32*B47*B53*B30</f>
        <v>1885.5452282765134</v>
      </c>
      <c r="C54" s="16">
        <f>20*LOG10(B54)</f>
        <v>65.508739084398783</v>
      </c>
    </row>
    <row r="55" spans="1:4" x14ac:dyDescent="0.25">
      <c r="A55" s="12" t="s">
        <v>63</v>
      </c>
      <c r="B55" s="68">
        <f>IF(C55="vatche'",4/(B17*(6.28*B18)^2),D55)</f>
        <v>6.9692841929327912E-9</v>
      </c>
      <c r="C55" s="22" t="s">
        <v>188</v>
      </c>
      <c r="D55" s="69">
        <v>1E-8</v>
      </c>
    </row>
    <row r="56" spans="1:4" x14ac:dyDescent="0.25">
      <c r="A56" s="12" t="s">
        <v>64</v>
      </c>
      <c r="B56" s="12">
        <f>B17*B22*B55*B53</f>
        <v>1.10624928137266E-18</v>
      </c>
    </row>
    <row r="57" spans="1:4" x14ac:dyDescent="0.25">
      <c r="A57" s="12" t="s">
        <v>65</v>
      </c>
      <c r="B57" s="12">
        <f>(B17/(B51+B52))*(B51*B55+B52*B22)</f>
        <v>1.9652280366377479E-11</v>
      </c>
    </row>
    <row r="58" spans="1:4" x14ac:dyDescent="0.25">
      <c r="A58" s="12" t="s">
        <v>66</v>
      </c>
      <c r="B58" s="12">
        <f>B53*B22+B53*B55+(B17/(B51+B52))</f>
        <v>4.8439048920595217E-5</v>
      </c>
    </row>
    <row r="59" spans="1:4" x14ac:dyDescent="0.25">
      <c r="C59" s="14"/>
    </row>
    <row r="60" spans="1:4" x14ac:dyDescent="0.25">
      <c r="C60" s="14"/>
    </row>
    <row r="61" spans="1:4" x14ac:dyDescent="0.25">
      <c r="A61" s="34" t="s">
        <v>123</v>
      </c>
      <c r="C61" s="14"/>
    </row>
    <row r="62" spans="1:4" x14ac:dyDescent="0.25">
      <c r="A62" s="41" t="s">
        <v>136</v>
      </c>
      <c r="B62" s="12">
        <f>B20*B21</f>
        <v>0</v>
      </c>
      <c r="C62" s="14" t="s">
        <v>124</v>
      </c>
    </row>
    <row r="63" spans="1:4" x14ac:dyDescent="0.25">
      <c r="A63" s="41" t="s">
        <v>137</v>
      </c>
      <c r="B63" s="12">
        <f>B21*(B19*B20)/(B19+B20)</f>
        <v>0</v>
      </c>
      <c r="C63" s="14" t="s">
        <v>125</v>
      </c>
    </row>
    <row r="64" spans="1:4" x14ac:dyDescent="0.25">
      <c r="A64" s="12" t="s">
        <v>68</v>
      </c>
    </row>
    <row r="72" spans="1:3" x14ac:dyDescent="0.25">
      <c r="A72" s="17" t="s">
        <v>62</v>
      </c>
      <c r="B72" s="18">
        <f>B54</f>
        <v>1885.5452282765134</v>
      </c>
    </row>
    <row r="73" spans="1:3" x14ac:dyDescent="0.25">
      <c r="A73" s="19" t="s">
        <v>64</v>
      </c>
      <c r="B73" s="18">
        <f>B56</f>
        <v>1.10624928137266E-18</v>
      </c>
    </row>
    <row r="74" spans="1:3" x14ac:dyDescent="0.25">
      <c r="A74" s="19" t="s">
        <v>65</v>
      </c>
      <c r="B74" s="18">
        <f>B57</f>
        <v>1.9652280366377479E-11</v>
      </c>
    </row>
    <row r="75" spans="1:3" x14ac:dyDescent="0.25">
      <c r="A75" s="17" t="s">
        <v>66</v>
      </c>
      <c r="B75" s="18">
        <f>B58</f>
        <v>4.8439048920595217E-5</v>
      </c>
    </row>
    <row r="76" spans="1:3" x14ac:dyDescent="0.25">
      <c r="A76" s="17" t="s">
        <v>46</v>
      </c>
      <c r="B76" s="18">
        <f>B34</f>
        <v>1.2E-5</v>
      </c>
    </row>
    <row r="77" spans="1:3" x14ac:dyDescent="0.25">
      <c r="A77" s="43" t="s">
        <v>128</v>
      </c>
      <c r="B77" s="18">
        <f>B36</f>
        <v>4.9443999999999996E-6</v>
      </c>
    </row>
    <row r="78" spans="1:3" x14ac:dyDescent="0.25">
      <c r="A78" s="43" t="s">
        <v>127</v>
      </c>
      <c r="B78" s="18">
        <f>B41</f>
        <v>0</v>
      </c>
      <c r="C78" s="14" t="s">
        <v>53</v>
      </c>
    </row>
    <row r="79" spans="1:3" x14ac:dyDescent="0.25">
      <c r="A79" s="20" t="s">
        <v>45</v>
      </c>
      <c r="B79" s="18">
        <f>B33</f>
        <v>1.8799999999999999E-3</v>
      </c>
    </row>
    <row r="80" spans="1:3" x14ac:dyDescent="0.25">
      <c r="A80" s="20" t="s">
        <v>47</v>
      </c>
      <c r="B80" s="18">
        <f>B35</f>
        <v>1.275E-7</v>
      </c>
    </row>
    <row r="81" spans="1:30" x14ac:dyDescent="0.25">
      <c r="A81" s="20" t="s">
        <v>49</v>
      </c>
      <c r="B81" s="18">
        <f>B37</f>
        <v>0</v>
      </c>
    </row>
    <row r="82" spans="1:30" x14ac:dyDescent="0.25">
      <c r="A82" s="20" t="s">
        <v>50</v>
      </c>
      <c r="B82" s="18">
        <f>B38</f>
        <v>1.7378719243503534E-13</v>
      </c>
    </row>
    <row r="83" spans="1:30" x14ac:dyDescent="0.25">
      <c r="A83" s="39" t="s">
        <v>119</v>
      </c>
      <c r="B83" s="18">
        <f>B39</f>
        <v>2.1368033510418549E-6</v>
      </c>
    </row>
    <row r="84" spans="1:30" x14ac:dyDescent="0.25">
      <c r="A84" s="20" t="s">
        <v>51</v>
      </c>
      <c r="B84" s="18">
        <f>B40</f>
        <v>6.7501548721570653E-7</v>
      </c>
      <c r="C84" s="14"/>
    </row>
    <row r="85" spans="1:30" x14ac:dyDescent="0.25">
      <c r="A85" s="21"/>
    </row>
    <row r="87" spans="1:30" x14ac:dyDescent="0.25">
      <c r="A87" s="22" t="s">
        <v>21</v>
      </c>
      <c r="B87" s="23">
        <f>B237</f>
        <v>67550.506272702594</v>
      </c>
      <c r="C87" s="24" t="s">
        <v>69</v>
      </c>
    </row>
    <row r="88" spans="1:30" x14ac:dyDescent="0.25">
      <c r="A88" s="22" t="s">
        <v>70</v>
      </c>
      <c r="B88" s="23">
        <f>B241</f>
        <v>-105.80238845045713</v>
      </c>
      <c r="C88" s="24" t="s">
        <v>71</v>
      </c>
    </row>
    <row r="89" spans="1:30" x14ac:dyDescent="0.25">
      <c r="A89" s="22" t="s">
        <v>22</v>
      </c>
      <c r="B89" s="23">
        <f>B242</f>
        <v>74.19761154954287</v>
      </c>
      <c r="C89" s="24" t="s">
        <v>72</v>
      </c>
    </row>
    <row r="94" spans="1:30" ht="15.75" x14ac:dyDescent="0.25">
      <c r="A94" s="25" t="s">
        <v>73</v>
      </c>
      <c r="B94" s="12" t="s">
        <v>74</v>
      </c>
      <c r="C94" s="12" t="s">
        <v>62</v>
      </c>
      <c r="D94" s="12" t="s">
        <v>75</v>
      </c>
      <c r="E94" s="12" t="s">
        <v>76</v>
      </c>
      <c r="F94" s="13" t="s">
        <v>77</v>
      </c>
      <c r="G94" s="12" t="s">
        <v>46</v>
      </c>
      <c r="H94" s="12" t="s">
        <v>48</v>
      </c>
      <c r="I94" s="12" t="s">
        <v>52</v>
      </c>
      <c r="J94" s="12" t="s">
        <v>45</v>
      </c>
      <c r="K94" s="12" t="s">
        <v>47</v>
      </c>
      <c r="L94" s="34" t="s">
        <v>129</v>
      </c>
      <c r="M94" s="34" t="s">
        <v>130</v>
      </c>
      <c r="N94" s="34" t="s">
        <v>131</v>
      </c>
      <c r="O94" s="12" t="s">
        <v>51</v>
      </c>
      <c r="P94" s="40" t="s">
        <v>132</v>
      </c>
      <c r="Q94" s="40" t="s">
        <v>133</v>
      </c>
      <c r="R94" s="25" t="s">
        <v>78</v>
      </c>
      <c r="S94" s="12" t="s">
        <v>79</v>
      </c>
      <c r="T94" s="12" t="s">
        <v>80</v>
      </c>
      <c r="U94" s="12" t="s">
        <v>81</v>
      </c>
      <c r="V94" s="12" t="s">
        <v>82</v>
      </c>
      <c r="W94" s="12" t="s">
        <v>83</v>
      </c>
      <c r="X94" s="12" t="s">
        <v>84</v>
      </c>
      <c r="Y94" s="12" t="s">
        <v>85</v>
      </c>
      <c r="Z94" s="12" t="s">
        <v>86</v>
      </c>
      <c r="AA94" s="40" t="s">
        <v>134</v>
      </c>
      <c r="AB94" s="40" t="s">
        <v>135</v>
      </c>
      <c r="AD94" s="25" t="s">
        <v>87</v>
      </c>
    </row>
    <row r="95" spans="1:30" x14ac:dyDescent="0.25">
      <c r="A95" s="26">
        <v>0.1</v>
      </c>
      <c r="B95" s="12">
        <f>A95*2*PI()</f>
        <v>0.62831853071795862</v>
      </c>
      <c r="C95" s="13">
        <f>20*LOG10($B$72)</f>
        <v>65.508739084398783</v>
      </c>
      <c r="D95" s="13">
        <f>1-$B$74*B95*B95</f>
        <v>0.99999999999224154</v>
      </c>
      <c r="E95" s="13">
        <f>B95*$B$75-$B$73*B95*B95*B95</f>
        <v>3.0435152047163433E-5</v>
      </c>
      <c r="F95" s="13">
        <f>20*LOG10(SQRT(D95^2+E95^2))</f>
        <v>3.9554726154428315E-9</v>
      </c>
      <c r="G95" s="13">
        <f>20*LOG10(SQRT(1+($B$76*B95)^2))</f>
        <v>2.4689097529332989E-10</v>
      </c>
      <c r="H95" s="13">
        <f>20*LOG10(SQRT(1+($B$77*B95)^2))</f>
        <v>4.1915457661104043E-11</v>
      </c>
      <c r="I95" s="13">
        <f>20*LOG10(SQRT(1+($B$78*B95)^2))</f>
        <v>0</v>
      </c>
      <c r="J95" s="13">
        <f>20*LOG10(SQRT(1+($B$79*B95)^2))</f>
        <v>6.0598160850785756E-6</v>
      </c>
      <c r="K95" s="13">
        <f>20*LOG10(SQRT(1+($B$80*B95)^2))</f>
        <v>2.7001169063491996E-14</v>
      </c>
      <c r="L95" s="13">
        <f>1-$B$82*B95^2</f>
        <v>0.99999999999993139</v>
      </c>
      <c r="M95" s="13">
        <f>B95*$B$83-$B$81*B95^3</f>
        <v>1.3425931419598286E-6</v>
      </c>
      <c r="N95" s="13">
        <f>20*LOG10(SQRT(L95^2+M95^2))</f>
        <v>7.2324559991466426E-12</v>
      </c>
      <c r="O95" s="13">
        <f t="shared" ref="O95:O126" si="0">20*LOG10(SQRT(1+($B$84*B95)^2))</f>
        <v>7.8110524790812735E-13</v>
      </c>
      <c r="P95" s="13">
        <f>20*LOG10(SQRT(1+($B$62*B95)^2))</f>
        <v>0</v>
      </c>
      <c r="Q95" s="13">
        <f>20*LOG10(SQRT(1+($B$63*B95)^2))</f>
        <v>0</v>
      </c>
      <c r="R95" s="27">
        <f>C95-F95+G95+H95+I95-J95-K95-N95-O95+P95-Q95</f>
        <v>65.508733020907982</v>
      </c>
      <c r="S95" s="12">
        <f t="shared" ref="S95:S126" si="1">ATAN2(D95,E95)</f>
        <v>3.0435152038002216E-5</v>
      </c>
      <c r="T95" s="12">
        <f t="shared" ref="T95:T126" si="2">ATAN($B$76*B95)</f>
        <v>7.5398223684726266E-6</v>
      </c>
      <c r="U95" s="12">
        <f t="shared" ref="U95:U126" si="3">ATAN($B$77*B95)</f>
        <v>3.1066581432718799E-6</v>
      </c>
      <c r="V95" s="12">
        <f t="shared" ref="V95:V126" si="4">ATAN($B$78*B95)</f>
        <v>0</v>
      </c>
      <c r="W95" s="12">
        <f t="shared" ref="W95:W126" si="5">ATAN($B$79*B95)</f>
        <v>1.1812382883461196E-3</v>
      </c>
      <c r="X95" s="12">
        <f t="shared" ref="X95:X126" si="6">ATAN($B$80*B95)</f>
        <v>8.0110612666539547E-8</v>
      </c>
      <c r="Y95" s="12">
        <f t="shared" ref="Y95:Y126" si="7">ATAN2(L95,M95)</f>
        <v>1.3425931419591139E-6</v>
      </c>
      <c r="Z95" s="12">
        <f t="shared" ref="Z95:Z126" si="8">ATAN($B$84*B95)</f>
        <v>4.2412473913921431E-7</v>
      </c>
      <c r="AA95" s="12">
        <f>ATAN($B$62*B95)</f>
        <v>0</v>
      </c>
      <c r="AB95" s="12">
        <f>ATAN($B$63*B95)</f>
        <v>0</v>
      </c>
      <c r="AC95" s="12">
        <f t="shared" ref="AC95:AC126" si="9">IF(-S95&gt;0,-S95-2*PI(),-S95)</f>
        <v>-3.0435152038002216E-5</v>
      </c>
      <c r="AD95" s="12">
        <f>(180/PI())*(AC95+T95+U95+V95-W95-X95-Y95-Z95+AA95-AB95)</f>
        <v>-6.891959136029252E-2</v>
      </c>
    </row>
    <row r="96" spans="1:30" x14ac:dyDescent="0.25">
      <c r="A96" s="26">
        <v>0.2</v>
      </c>
      <c r="B96" s="12">
        <f t="shared" ref="B96:B159" si="10">A96*2*PI()</f>
        <v>1.2566370614359172</v>
      </c>
      <c r="C96" s="13">
        <f t="shared" ref="C96:C159" si="11">20*LOG10($B$72)</f>
        <v>65.508739084398783</v>
      </c>
      <c r="D96" s="13">
        <f t="shared" ref="D96:D159" si="12">1-$B$74*B96*B96</f>
        <v>0.99999999996896638</v>
      </c>
      <c r="E96" s="13">
        <f t="shared" ref="E96:E159" si="13">B96*$B$75-$B$73*B96*B96*B96</f>
        <v>6.087030409432522E-5</v>
      </c>
      <c r="F96" s="13">
        <f t="shared" ref="F96:F159" si="14">20*LOG10(SQRT(D96^2+E96^2))</f>
        <v>1.5821898165583332E-8</v>
      </c>
      <c r="G96" s="13">
        <f t="shared" ref="G96:G159" si="15">20*LOG10(SQRT(1+($B$76*B96)^2))</f>
        <v>9.8756775844107917E-10</v>
      </c>
      <c r="H96" s="13">
        <f t="shared" ref="H96:H159" si="16">20*LOG10(SQRT(1+($B$77*B96)^2))</f>
        <v>1.6766183064320254E-10</v>
      </c>
      <c r="I96" s="13">
        <f t="shared" ref="I96:I159" si="17">20*LOG10(SQRT(1+($B$78*B96)^2))</f>
        <v>0</v>
      </c>
      <c r="J96" s="13">
        <f t="shared" ref="J96:J159" si="18">20*LOG10(SQRT(1+($B$79*B96)^2))</f>
        <v>2.423921360853227E-5</v>
      </c>
      <c r="K96" s="13">
        <f t="shared" ref="K96:K159" si="19">20*LOG10(SQRT(1+($B$80*B96)^2))</f>
        <v>1.1186198612018058E-13</v>
      </c>
      <c r="L96" s="13">
        <f t="shared" ref="L96:L159" si="20">1-$B$82*B96^2</f>
        <v>0.99999999999972555</v>
      </c>
      <c r="M96" s="13">
        <f t="shared" ref="M96:M159" si="21">B96*$B$83-$B$81*B96^3</f>
        <v>2.6851862839196572E-6</v>
      </c>
      <c r="N96" s="13">
        <f t="shared" ref="N96:N159" si="22">20*LOG10(SQRT(L96^2+M96^2))</f>
        <v>2.8929823996550436E-11</v>
      </c>
      <c r="O96" s="13">
        <f t="shared" si="0"/>
        <v>3.1244209916320886E-12</v>
      </c>
      <c r="P96" s="13">
        <f t="shared" ref="P96:P159" si="23">20*LOG10(SQRT(1+($B$62*B96)^2))</f>
        <v>0</v>
      </c>
      <c r="Q96" s="13">
        <f t="shared" ref="Q96:Q159" si="24">20*LOG10(SQRT(1+($B$63*B96)^2))</f>
        <v>0</v>
      </c>
      <c r="R96" s="27">
        <f t="shared" ref="R96:R159" si="25">C96-F96+G96+H96+I96-J96-K96-N96-O96+P96-Q96</f>
        <v>65.50871483048634</v>
      </c>
      <c r="S96" s="12">
        <f t="shared" si="1"/>
        <v>6.0870304021035484E-5</v>
      </c>
      <c r="T96" s="12">
        <f t="shared" si="2"/>
        <v>1.5079644736087992E-5</v>
      </c>
      <c r="U96" s="12">
        <f t="shared" si="3"/>
        <v>6.2133162864837933E-6</v>
      </c>
      <c r="V96" s="12">
        <f t="shared" si="4"/>
        <v>0</v>
      </c>
      <c r="W96" s="12">
        <f t="shared" si="5"/>
        <v>2.3624732802814221E-3</v>
      </c>
      <c r="X96" s="12">
        <f t="shared" si="6"/>
        <v>1.6022122533307806E-7</v>
      </c>
      <c r="Y96" s="12">
        <f t="shared" si="7"/>
        <v>2.6851862839139405E-6</v>
      </c>
      <c r="Z96" s="12">
        <f t="shared" si="8"/>
        <v>8.4824947827827605E-7</v>
      </c>
      <c r="AA96" s="12">
        <f t="shared" ref="AA96:AA159" si="26">ATAN($B$62*B96)</f>
        <v>0</v>
      </c>
      <c r="AB96" s="12">
        <f t="shared" ref="AB96:AB159" si="27">ATAN($B$63*B96)</f>
        <v>0</v>
      </c>
      <c r="AC96" s="12">
        <f t="shared" si="9"/>
        <v>-6.0870304021035484E-5</v>
      </c>
      <c r="AD96" s="12">
        <f t="shared" ref="AD96:AD159" si="28">(180/PI())*(AC96+T96+U96+V96-W96-X96-Y96-Z96+AA96-AB96)</f>
        <v>-0.1378389938470605</v>
      </c>
    </row>
    <row r="97" spans="1:30" x14ac:dyDescent="0.25">
      <c r="A97" s="26">
        <v>0.3</v>
      </c>
      <c r="B97" s="12">
        <f t="shared" si="10"/>
        <v>1.8849555921538759</v>
      </c>
      <c r="C97" s="13">
        <f t="shared" si="11"/>
        <v>65.508739084398783</v>
      </c>
      <c r="D97" s="13">
        <f t="shared" si="12"/>
        <v>0.9999999999301743</v>
      </c>
      <c r="E97" s="13">
        <f t="shared" si="13"/>
        <v>9.1305456141483709E-5</v>
      </c>
      <c r="F97" s="13">
        <f t="shared" si="14"/>
        <v>3.5599268903378617E-8</v>
      </c>
      <c r="G97" s="13">
        <f t="shared" si="15"/>
        <v>2.2220264920070614E-9</v>
      </c>
      <c r="H97" s="13">
        <f t="shared" si="16"/>
        <v>3.7723719028772162E-10</v>
      </c>
      <c r="I97" s="13">
        <f t="shared" si="17"/>
        <v>0</v>
      </c>
      <c r="J97" s="13">
        <f t="shared" si="18"/>
        <v>5.4538040372042554E-5</v>
      </c>
      <c r="K97" s="13">
        <f t="shared" si="19"/>
        <v>2.5072514130385104E-13</v>
      </c>
      <c r="L97" s="13">
        <f t="shared" si="20"/>
        <v>0.99999999999938249</v>
      </c>
      <c r="M97" s="13">
        <f t="shared" si="21"/>
        <v>4.0277794258794862E-6</v>
      </c>
      <c r="N97" s="13">
        <f t="shared" si="22"/>
        <v>6.5092103992102976E-11</v>
      </c>
      <c r="O97" s="13">
        <f t="shared" si="0"/>
        <v>7.0318758861037229E-12</v>
      </c>
      <c r="P97" s="13">
        <f t="shared" si="23"/>
        <v>0</v>
      </c>
      <c r="Q97" s="13">
        <f t="shared" si="24"/>
        <v>0</v>
      </c>
      <c r="R97" s="27">
        <f t="shared" si="25"/>
        <v>65.508684513286028</v>
      </c>
      <c r="S97" s="12">
        <f t="shared" si="1"/>
        <v>9.1305455894130858E-5</v>
      </c>
      <c r="T97" s="12">
        <f t="shared" si="2"/>
        <v>2.2619467101988834E-5</v>
      </c>
      <c r="U97" s="12">
        <f t="shared" si="3"/>
        <v>9.3199744295757724E-6</v>
      </c>
      <c r="V97" s="12">
        <f t="shared" si="4"/>
        <v>0</v>
      </c>
      <c r="W97" s="12">
        <f t="shared" si="5"/>
        <v>3.5437016794502849E-3</v>
      </c>
      <c r="X97" s="12">
        <f t="shared" si="6"/>
        <v>2.4033183799961458E-7</v>
      </c>
      <c r="Y97" s="12">
        <f t="shared" si="7"/>
        <v>4.0277794258601925E-6</v>
      </c>
      <c r="Z97" s="12">
        <f t="shared" si="8"/>
        <v>1.2723742174170325E-6</v>
      </c>
      <c r="AA97" s="12">
        <f t="shared" si="26"/>
        <v>0</v>
      </c>
      <c r="AB97" s="12">
        <f t="shared" si="27"/>
        <v>0</v>
      </c>
      <c r="AC97" s="12">
        <f t="shared" si="9"/>
        <v>-9.1305455894130858E-5</v>
      </c>
      <c r="AD97" s="12">
        <f t="shared" si="28"/>
        <v>-0.20675801858994181</v>
      </c>
    </row>
    <row r="98" spans="1:30" x14ac:dyDescent="0.25">
      <c r="A98" s="26">
        <v>0.4</v>
      </c>
      <c r="B98" s="12">
        <f t="shared" si="10"/>
        <v>2.5132741228718345</v>
      </c>
      <c r="C98" s="13">
        <f t="shared" si="11"/>
        <v>65.508739084398783</v>
      </c>
      <c r="D98" s="13">
        <f t="shared" si="12"/>
        <v>0.99999999987586541</v>
      </c>
      <c r="E98" s="13">
        <f t="shared" si="13"/>
        <v>1.2174060818863727E-4</v>
      </c>
      <c r="F98" s="13">
        <f t="shared" si="14"/>
        <v>6.3287590560754868E-8</v>
      </c>
      <c r="G98" s="13">
        <f t="shared" si="15"/>
        <v>3.9502671757807454E-9</v>
      </c>
      <c r="H98" s="13">
        <f t="shared" si="16"/>
        <v>6.7064346524352621E-10</v>
      </c>
      <c r="I98" s="13">
        <f t="shared" si="17"/>
        <v>0</v>
      </c>
      <c r="J98" s="13">
        <f t="shared" si="18"/>
        <v>9.6956042724980737E-5</v>
      </c>
      <c r="K98" s="13">
        <f t="shared" si="19"/>
        <v>4.4551928954760725E-13</v>
      </c>
      <c r="L98" s="13">
        <f t="shared" si="20"/>
        <v>0.99999999999890221</v>
      </c>
      <c r="M98" s="13">
        <f t="shared" si="21"/>
        <v>5.3703725678393143E-6</v>
      </c>
      <c r="N98" s="13">
        <f t="shared" si="22"/>
        <v>1.1571929598562361E-10</v>
      </c>
      <c r="O98" s="13">
        <f t="shared" si="0"/>
        <v>1.2499612621454713E-11</v>
      </c>
      <c r="P98" s="13">
        <f t="shared" si="23"/>
        <v>0</v>
      </c>
      <c r="Q98" s="13">
        <f t="shared" si="24"/>
        <v>0</v>
      </c>
      <c r="R98" s="27">
        <f t="shared" si="25"/>
        <v>65.508642069560707</v>
      </c>
      <c r="S98" s="12">
        <f t="shared" si="1"/>
        <v>1.2174060760231941E-4</v>
      </c>
      <c r="T98" s="12">
        <f t="shared" si="2"/>
        <v>3.0159289465317889E-5</v>
      </c>
      <c r="U98" s="12">
        <f t="shared" si="3"/>
        <v>1.2426632572487853E-5</v>
      </c>
      <c r="V98" s="12">
        <f t="shared" si="4"/>
        <v>0</v>
      </c>
      <c r="W98" s="12">
        <f t="shared" si="5"/>
        <v>4.7249201896074709E-3</v>
      </c>
      <c r="X98" s="12">
        <f t="shared" si="6"/>
        <v>3.2044245066614792E-7</v>
      </c>
      <c r="Y98" s="12">
        <f t="shared" si="7"/>
        <v>5.3703725677935805E-6</v>
      </c>
      <c r="Z98" s="12">
        <f t="shared" si="8"/>
        <v>1.6964989565553313E-6</v>
      </c>
      <c r="AA98" s="12">
        <f t="shared" si="26"/>
        <v>0</v>
      </c>
      <c r="AB98" s="12">
        <f t="shared" si="27"/>
        <v>0</v>
      </c>
      <c r="AC98" s="12">
        <f t="shared" si="9"/>
        <v>-1.2174060760231941E-4</v>
      </c>
      <c r="AD98" s="12">
        <f t="shared" si="28"/>
        <v>-0.27567647672489892</v>
      </c>
    </row>
    <row r="99" spans="1:30" x14ac:dyDescent="0.25">
      <c r="A99" s="26">
        <v>0.5</v>
      </c>
      <c r="B99" s="12">
        <f t="shared" si="10"/>
        <v>3.1415926535897931</v>
      </c>
      <c r="C99" s="13">
        <f t="shared" si="11"/>
        <v>65.508739084398783</v>
      </c>
      <c r="D99" s="13">
        <f t="shared" si="12"/>
        <v>0.99999999980603982</v>
      </c>
      <c r="E99" s="13">
        <f t="shared" si="13"/>
        <v>1.5217576023578424E-4</v>
      </c>
      <c r="F99" s="13">
        <f t="shared" si="14"/>
        <v>9.8886861133403113E-8</v>
      </c>
      <c r="G99" s="13">
        <f t="shared" si="15"/>
        <v>6.1722936667772485E-9</v>
      </c>
      <c r="H99" s="13">
        <f t="shared" si="16"/>
        <v>1.047880655502121E-9</v>
      </c>
      <c r="I99" s="13">
        <f t="shared" si="17"/>
        <v>0</v>
      </c>
      <c r="J99" s="13">
        <f t="shared" si="18"/>
        <v>1.5149286555918865E-4</v>
      </c>
      <c r="K99" s="13">
        <f t="shared" si="19"/>
        <v>6.9817308578455182E-13</v>
      </c>
      <c r="L99" s="13">
        <f t="shared" si="20"/>
        <v>0.99999999999828482</v>
      </c>
      <c r="M99" s="13">
        <f t="shared" si="21"/>
        <v>6.7129657097991433E-6</v>
      </c>
      <c r="N99" s="13">
        <f t="shared" si="22"/>
        <v>1.8081139997685939E-10</v>
      </c>
      <c r="O99" s="13">
        <f t="shared" si="0"/>
        <v>1.9529559852615214E-11</v>
      </c>
      <c r="P99" s="13">
        <f t="shared" si="23"/>
        <v>0</v>
      </c>
      <c r="Q99" s="13">
        <f t="shared" si="24"/>
        <v>0</v>
      </c>
      <c r="R99" s="27">
        <f t="shared" si="25"/>
        <v>65.508587499665524</v>
      </c>
      <c r="S99" s="12">
        <f t="shared" si="1"/>
        <v>1.5217575909063218E-4</v>
      </c>
      <c r="T99" s="12">
        <f t="shared" si="2"/>
        <v>3.7699111825217901E-5</v>
      </c>
      <c r="U99" s="12">
        <f t="shared" si="3"/>
        <v>1.5533290715160067E-5</v>
      </c>
      <c r="V99" s="12">
        <f t="shared" si="4"/>
        <v>0</v>
      </c>
      <c r="W99" s="12">
        <f t="shared" si="5"/>
        <v>5.9061255146733178E-3</v>
      </c>
      <c r="X99" s="12">
        <f t="shared" si="6"/>
        <v>4.0055306333267718E-7</v>
      </c>
      <c r="Y99" s="12">
        <f t="shared" si="7"/>
        <v>6.7129657097098195E-6</v>
      </c>
      <c r="Z99" s="12">
        <f t="shared" si="8"/>
        <v>2.1206236956930196E-6</v>
      </c>
      <c r="AA99" s="12">
        <f t="shared" si="26"/>
        <v>0</v>
      </c>
      <c r="AB99" s="12">
        <f t="shared" si="27"/>
        <v>0</v>
      </c>
      <c r="AC99" s="12">
        <f t="shared" si="9"/>
        <v>-1.5217575909063218E-4</v>
      </c>
      <c r="AD99" s="12">
        <f t="shared" si="28"/>
        <v>-0.34459417939738096</v>
      </c>
    </row>
    <row r="100" spans="1:30" x14ac:dyDescent="0.25">
      <c r="A100" s="26">
        <v>0.6</v>
      </c>
      <c r="B100" s="12">
        <f t="shared" si="10"/>
        <v>3.7699111843077517</v>
      </c>
      <c r="C100" s="13">
        <f t="shared" si="11"/>
        <v>65.508739084398783</v>
      </c>
      <c r="D100" s="13">
        <f t="shared" si="12"/>
        <v>0.99999999972069731</v>
      </c>
      <c r="E100" s="13">
        <f t="shared" si="13"/>
        <v>1.8261091228292297E-4</v>
      </c>
      <c r="F100" s="13">
        <f t="shared" si="14"/>
        <v>1.4239708052405388E-7</v>
      </c>
      <c r="G100" s="13">
        <f t="shared" si="15"/>
        <v>8.888102107307748E-9</v>
      </c>
      <c r="H100" s="13">
        <f t="shared" si="16"/>
        <v>1.5089449037427179E-9</v>
      </c>
      <c r="I100" s="13">
        <f t="shared" si="17"/>
        <v>0</v>
      </c>
      <c r="J100" s="13">
        <f t="shared" si="18"/>
        <v>2.181480523267437E-4</v>
      </c>
      <c r="K100" s="13">
        <f t="shared" si="19"/>
        <v>1.0029005652153607E-12</v>
      </c>
      <c r="L100" s="13">
        <f t="shared" si="20"/>
        <v>0.99999999999753009</v>
      </c>
      <c r="M100" s="13">
        <f t="shared" si="21"/>
        <v>8.0555588517589724E-6</v>
      </c>
      <c r="N100" s="13">
        <f t="shared" si="22"/>
        <v>2.6036841596548513E-10</v>
      </c>
      <c r="O100" s="13">
        <f t="shared" si="0"/>
        <v>2.8123646234514535E-11</v>
      </c>
      <c r="P100" s="13">
        <f t="shared" si="23"/>
        <v>0</v>
      </c>
      <c r="Q100" s="13">
        <f t="shared" si="24"/>
        <v>0</v>
      </c>
      <c r="R100" s="27">
        <f t="shared" si="25"/>
        <v>65.508520804056928</v>
      </c>
      <c r="S100" s="12">
        <f t="shared" si="1"/>
        <v>1.8261091030410021E-4</v>
      </c>
      <c r="T100" s="12">
        <f t="shared" si="2"/>
        <v>4.5238934180831605E-5</v>
      </c>
      <c r="U100" s="12">
        <f t="shared" si="3"/>
        <v>1.8639948857532445E-5</v>
      </c>
      <c r="V100" s="12">
        <f t="shared" si="4"/>
        <v>0</v>
      </c>
      <c r="W100" s="12">
        <f t="shared" si="5"/>
        <v>7.0873143587889161E-3</v>
      </c>
      <c r="X100" s="12">
        <f t="shared" si="6"/>
        <v>4.8066367599920131E-7</v>
      </c>
      <c r="Y100" s="12">
        <f t="shared" si="7"/>
        <v>8.0555588516046226E-6</v>
      </c>
      <c r="Z100" s="12">
        <f t="shared" si="8"/>
        <v>2.5447484348299454E-6</v>
      </c>
      <c r="AA100" s="12">
        <f t="shared" si="26"/>
        <v>0</v>
      </c>
      <c r="AB100" s="12">
        <f t="shared" si="27"/>
        <v>0</v>
      </c>
      <c r="AC100" s="12">
        <f t="shared" si="9"/>
        <v>-1.8261091030410021E-4</v>
      </c>
      <c r="AD100" s="12">
        <f t="shared" si="28"/>
        <v>-0.41351093776548553</v>
      </c>
    </row>
    <row r="101" spans="1:30" x14ac:dyDescent="0.25">
      <c r="A101" s="26">
        <v>0.7</v>
      </c>
      <c r="B101" s="12">
        <f t="shared" si="10"/>
        <v>4.3982297150257104</v>
      </c>
      <c r="C101" s="13">
        <f t="shared" si="11"/>
        <v>65.508739084398783</v>
      </c>
      <c r="D101" s="13">
        <f t="shared" si="12"/>
        <v>0.99999999961983799</v>
      </c>
      <c r="E101" s="13">
        <f t="shared" si="13"/>
        <v>2.1304606433005183E-4</v>
      </c>
      <c r="F101" s="13">
        <f t="shared" si="14"/>
        <v>1.9381824668516732E-7</v>
      </c>
      <c r="G101" s="13">
        <f t="shared" si="15"/>
        <v>1.2097694425564002E-8</v>
      </c>
      <c r="H101" s="13">
        <f t="shared" si="16"/>
        <v>2.0538439245716983E-9</v>
      </c>
      <c r="I101" s="13">
        <f t="shared" si="17"/>
        <v>0</v>
      </c>
      <c r="J101" s="13">
        <f t="shared" si="18"/>
        <v>2.9692104504984928E-4</v>
      </c>
      <c r="K101" s="13">
        <f t="shared" si="19"/>
        <v>1.3654876926393474E-12</v>
      </c>
      <c r="L101" s="13">
        <f t="shared" si="20"/>
        <v>0.99999999999663813</v>
      </c>
      <c r="M101" s="13">
        <f t="shared" si="21"/>
        <v>9.3981519937187997E-6</v>
      </c>
      <c r="N101" s="13">
        <f t="shared" si="22"/>
        <v>3.5439034395110338E-10</v>
      </c>
      <c r="O101" s="13">
        <f t="shared" si="0"/>
        <v>3.8279943112214936E-11</v>
      </c>
      <c r="P101" s="13">
        <f t="shared" si="23"/>
        <v>0</v>
      </c>
      <c r="Q101" s="13">
        <f t="shared" si="24"/>
        <v>0</v>
      </c>
      <c r="R101" s="27">
        <f t="shared" si="25"/>
        <v>65.508441983292983</v>
      </c>
      <c r="S101" s="12">
        <f t="shared" si="1"/>
        <v>2.1304606118775459E-4</v>
      </c>
      <c r="T101" s="12">
        <f t="shared" si="2"/>
        <v>5.2778756531301738E-5</v>
      </c>
      <c r="U101" s="12">
        <f t="shared" si="3"/>
        <v>2.1746606999545023E-5</v>
      </c>
      <c r="V101" s="12">
        <f t="shared" si="4"/>
        <v>0</v>
      </c>
      <c r="W101" s="12">
        <f t="shared" si="5"/>
        <v>8.2684834263712821E-3</v>
      </c>
      <c r="X101" s="12">
        <f t="shared" si="6"/>
        <v>5.607742886657193E-7</v>
      </c>
      <c r="Y101" s="12">
        <f t="shared" si="7"/>
        <v>9.3981519934736971E-6</v>
      </c>
      <c r="Z101" s="12">
        <f t="shared" si="8"/>
        <v>2.9688731739659552E-6</v>
      </c>
      <c r="AA101" s="12">
        <f t="shared" si="26"/>
        <v>0</v>
      </c>
      <c r="AB101" s="12">
        <f t="shared" si="27"/>
        <v>0</v>
      </c>
      <c r="AC101" s="12">
        <f t="shared" si="9"/>
        <v>-2.1304606118775459E-4</v>
      </c>
      <c r="AD101" s="12">
        <f t="shared" si="28"/>
        <v>-0.48242656300311937</v>
      </c>
    </row>
    <row r="102" spans="1:30" x14ac:dyDescent="0.25">
      <c r="A102" s="26">
        <v>0.8</v>
      </c>
      <c r="B102" s="12">
        <f t="shared" si="10"/>
        <v>5.026548245743669</v>
      </c>
      <c r="C102" s="13">
        <f t="shared" si="11"/>
        <v>65.508739084398783</v>
      </c>
      <c r="D102" s="13">
        <f t="shared" si="12"/>
        <v>0.99999999950346186</v>
      </c>
      <c r="E102" s="13">
        <f t="shared" si="13"/>
        <v>2.4348121637716917E-4</v>
      </c>
      <c r="F102" s="13">
        <f t="shared" si="14"/>
        <v>2.53150361404898E-7</v>
      </c>
      <c r="G102" s="13">
        <f t="shared" si="15"/>
        <v>1.5801070620998628E-8</v>
      </c>
      <c r="H102" s="13">
        <f t="shared" si="16"/>
        <v>2.682570003353555E-9</v>
      </c>
      <c r="I102" s="13">
        <f t="shared" si="17"/>
        <v>0</v>
      </c>
      <c r="J102" s="13">
        <f t="shared" si="18"/>
        <v>3.8781118433827962E-4</v>
      </c>
      <c r="K102" s="13">
        <f t="shared" si="19"/>
        <v>1.7840058131233979E-12</v>
      </c>
      <c r="L102" s="13">
        <f t="shared" si="20"/>
        <v>0.99999999999560907</v>
      </c>
      <c r="M102" s="13">
        <f t="shared" si="21"/>
        <v>1.0740745135678629E-5</v>
      </c>
      <c r="N102" s="13">
        <f t="shared" si="22"/>
        <v>4.6287718393324429E-10</v>
      </c>
      <c r="O102" s="13">
        <f t="shared" si="0"/>
        <v>4.9998450485710929E-11</v>
      </c>
      <c r="P102" s="13">
        <f t="shared" si="23"/>
        <v>0</v>
      </c>
      <c r="Q102" s="13">
        <f t="shared" si="24"/>
        <v>0</v>
      </c>
      <c r="R102" s="27">
        <f t="shared" si="25"/>
        <v>65.508351038033055</v>
      </c>
      <c r="S102" s="12">
        <f t="shared" si="1"/>
        <v>2.4348121168662638E-4</v>
      </c>
      <c r="T102" s="12">
        <f t="shared" si="2"/>
        <v>6.0318578875771042E-5</v>
      </c>
      <c r="U102" s="12">
        <f t="shared" si="3"/>
        <v>2.4853265141137836E-5</v>
      </c>
      <c r="V102" s="12">
        <f t="shared" si="4"/>
        <v>0</v>
      </c>
      <c r="W102" s="12">
        <f t="shared" si="5"/>
        <v>9.449629422168513E-3</v>
      </c>
      <c r="X102" s="12">
        <f t="shared" si="6"/>
        <v>6.4088490133222998E-7</v>
      </c>
      <c r="Y102" s="12">
        <f t="shared" si="7"/>
        <v>1.074074513531276E-5</v>
      </c>
      <c r="Z102" s="12">
        <f t="shared" si="8"/>
        <v>3.3929979131008972E-6</v>
      </c>
      <c r="AA102" s="12">
        <f t="shared" si="26"/>
        <v>0</v>
      </c>
      <c r="AB102" s="12">
        <f t="shared" si="27"/>
        <v>0</v>
      </c>
      <c r="AC102" s="12">
        <f t="shared" si="9"/>
        <v>-2.4348121168662638E-4</v>
      </c>
      <c r="AD102" s="12">
        <f t="shared" si="28"/>
        <v>-0.55134086630315882</v>
      </c>
    </row>
    <row r="103" spans="1:30" x14ac:dyDescent="0.25">
      <c r="A103" s="26">
        <v>0.9</v>
      </c>
      <c r="B103" s="12">
        <f t="shared" si="10"/>
        <v>5.6548667764616276</v>
      </c>
      <c r="C103" s="13">
        <f t="shared" si="11"/>
        <v>65.508739084398783</v>
      </c>
      <c r="D103" s="13">
        <f t="shared" si="12"/>
        <v>0.9999999993715688</v>
      </c>
      <c r="E103" s="13">
        <f t="shared" si="13"/>
        <v>2.7391636842427332E-4</v>
      </c>
      <c r="F103" s="13">
        <f t="shared" si="14"/>
        <v>3.2039342259247525E-7</v>
      </c>
      <c r="G103" s="13">
        <f t="shared" si="15"/>
        <v>1.9998228764325095E-8</v>
      </c>
      <c r="H103" s="13">
        <f t="shared" si="16"/>
        <v>3.3951289260348808E-9</v>
      </c>
      <c r="I103" s="13">
        <f t="shared" si="17"/>
        <v>0</v>
      </c>
      <c r="J103" s="13">
        <f t="shared" si="18"/>
        <v>4.9081770940859182E-4</v>
      </c>
      <c r="K103" s="13">
        <f t="shared" si="19"/>
        <v>2.2565262717343989E-12</v>
      </c>
      <c r="L103" s="13">
        <f t="shared" si="20"/>
        <v>0.99999999999444267</v>
      </c>
      <c r="M103" s="13">
        <f t="shared" si="21"/>
        <v>1.2083338277638458E-5</v>
      </c>
      <c r="N103" s="13">
        <f t="shared" si="22"/>
        <v>5.8582893591136603E-10</v>
      </c>
      <c r="O103" s="13">
        <f t="shared" si="0"/>
        <v>6.327916835499619E-11</v>
      </c>
      <c r="P103" s="13">
        <f t="shared" si="23"/>
        <v>0</v>
      </c>
      <c r="Q103" s="13">
        <f t="shared" si="24"/>
        <v>0</v>
      </c>
      <c r="R103" s="27">
        <f t="shared" si="25"/>
        <v>65.508247969037939</v>
      </c>
      <c r="S103" s="12">
        <f t="shared" si="1"/>
        <v>2.7391636174574666E-4</v>
      </c>
      <c r="T103" s="12">
        <f t="shared" si="2"/>
        <v>6.785840121338226E-5</v>
      </c>
      <c r="U103" s="12">
        <f t="shared" si="3"/>
        <v>2.7959923282250913E-5</v>
      </c>
      <c r="V103" s="12">
        <f t="shared" si="4"/>
        <v>0</v>
      </c>
      <c r="W103" s="12">
        <f t="shared" si="5"/>
        <v>1.0630749051314945E-2</v>
      </c>
      <c r="X103" s="12">
        <f t="shared" si="6"/>
        <v>7.2099551399873262E-7</v>
      </c>
      <c r="Y103" s="12">
        <f t="shared" si="7"/>
        <v>1.2083338277117524E-5</v>
      </c>
      <c r="Z103" s="12">
        <f t="shared" si="8"/>
        <v>3.8171226522346187E-6</v>
      </c>
      <c r="AA103" s="12">
        <f t="shared" si="26"/>
        <v>0</v>
      </c>
      <c r="AB103" s="12">
        <f t="shared" si="27"/>
        <v>0</v>
      </c>
      <c r="AC103" s="12">
        <f t="shared" si="9"/>
        <v>-2.7391636174574666E-4</v>
      </c>
      <c r="AD103" s="12">
        <f t="shared" si="28"/>
        <v>-0.62025365888061001</v>
      </c>
    </row>
    <row r="104" spans="1:30" x14ac:dyDescent="0.25">
      <c r="A104" s="26">
        <v>1</v>
      </c>
      <c r="B104" s="12">
        <f t="shared" si="10"/>
        <v>6.2831853071795862</v>
      </c>
      <c r="C104" s="13">
        <f t="shared" si="11"/>
        <v>65.508739084398783</v>
      </c>
      <c r="D104" s="13">
        <f t="shared" si="12"/>
        <v>0.99999999922415905</v>
      </c>
      <c r="E104" s="13">
        <f t="shared" si="13"/>
        <v>3.0435152047136264E-4</v>
      </c>
      <c r="F104" s="13">
        <f t="shared" si="14"/>
        <v>3.9554743199282274E-7</v>
      </c>
      <c r="G104" s="13">
        <f t="shared" si="15"/>
        <v>2.4689172712137447E-8</v>
      </c>
      <c r="H104" s="13">
        <f t="shared" si="16"/>
        <v>4.1915168352851793E-9</v>
      </c>
      <c r="I104" s="13">
        <f t="shared" si="17"/>
        <v>0</v>
      </c>
      <c r="J104" s="13">
        <f t="shared" si="18"/>
        <v>6.0593975809546238E-4</v>
      </c>
      <c r="K104" s="13">
        <f t="shared" si="19"/>
        <v>2.7869063783385529E-12</v>
      </c>
      <c r="L104" s="13">
        <f t="shared" si="20"/>
        <v>0.99999999999313915</v>
      </c>
      <c r="M104" s="13">
        <f t="shared" si="21"/>
        <v>1.3425931419598287E-5</v>
      </c>
      <c r="N104" s="13">
        <f t="shared" si="22"/>
        <v>7.2324752853978708E-10</v>
      </c>
      <c r="O104" s="13">
        <f t="shared" si="0"/>
        <v>7.8122096720063572E-11</v>
      </c>
      <c r="P104" s="13">
        <f t="shared" si="23"/>
        <v>0</v>
      </c>
      <c r="Q104" s="13">
        <f t="shared" si="24"/>
        <v>0</v>
      </c>
      <c r="R104" s="27">
        <f t="shared" si="25"/>
        <v>65.508132777169806</v>
      </c>
      <c r="S104" s="12">
        <f t="shared" si="1"/>
        <v>3.0435151131014653E-4</v>
      </c>
      <c r="T104" s="12">
        <f t="shared" si="2"/>
        <v>7.5398223543278112E-5</v>
      </c>
      <c r="U104" s="12">
        <f t="shared" si="3"/>
        <v>3.1066581422824292E-5</v>
      </c>
      <c r="V104" s="12">
        <f t="shared" si="4"/>
        <v>0</v>
      </c>
      <c r="W104" s="12">
        <f t="shared" si="5"/>
        <v>1.1811839019386263E-2</v>
      </c>
      <c r="X104" s="12">
        <f t="shared" si="6"/>
        <v>8.0110612666522583E-7</v>
      </c>
      <c r="Y104" s="12">
        <f t="shared" si="7"/>
        <v>1.3425931418883699E-5</v>
      </c>
      <c r="Z104" s="12">
        <f t="shared" si="8"/>
        <v>4.2412473913669667E-6</v>
      </c>
      <c r="AA104" s="12">
        <f t="shared" si="26"/>
        <v>0</v>
      </c>
      <c r="AB104" s="12">
        <f t="shared" si="27"/>
        <v>0</v>
      </c>
      <c r="AC104" s="12">
        <f t="shared" si="9"/>
        <v>-3.0435151131014653E-4</v>
      </c>
      <c r="AD104" s="12">
        <f t="shared" si="28"/>
        <v>-0.68916475197576643</v>
      </c>
    </row>
    <row r="105" spans="1:30" x14ac:dyDescent="0.25">
      <c r="A105" s="26">
        <v>2</v>
      </c>
      <c r="B105" s="12">
        <f t="shared" si="10"/>
        <v>12.566370614359172</v>
      </c>
      <c r="C105" s="13">
        <f t="shared" si="11"/>
        <v>65.508739084398783</v>
      </c>
      <c r="D105" s="13">
        <f t="shared" si="12"/>
        <v>0.99999999689663632</v>
      </c>
      <c r="E105" s="13">
        <f t="shared" si="13"/>
        <v>6.087030409410788E-4</v>
      </c>
      <c r="F105" s="13">
        <f t="shared" si="14"/>
        <v>1.5821895118894465E-6</v>
      </c>
      <c r="G105" s="13">
        <f t="shared" si="15"/>
        <v>9.8756690427483952E-8</v>
      </c>
      <c r="H105" s="13">
        <f t="shared" si="16"/>
        <v>1.6766067329004611E-8</v>
      </c>
      <c r="I105" s="13">
        <f t="shared" si="17"/>
        <v>0</v>
      </c>
      <c r="J105" s="13">
        <f t="shared" si="18"/>
        <v>2.4232519430435508E-3</v>
      </c>
      <c r="K105" s="13">
        <f t="shared" si="19"/>
        <v>1.1147625513348846E-11</v>
      </c>
      <c r="L105" s="13">
        <f t="shared" si="20"/>
        <v>0.99999999997255662</v>
      </c>
      <c r="M105" s="13">
        <f t="shared" si="21"/>
        <v>2.6851862839196573E-5</v>
      </c>
      <c r="N105" s="13">
        <f t="shared" si="22"/>
        <v>2.8929901137978127E-9</v>
      </c>
      <c r="O105" s="13">
        <f t="shared" si="0"/>
        <v>3.1248645822110541E-10</v>
      </c>
      <c r="P105" s="13">
        <f t="shared" si="23"/>
        <v>0</v>
      </c>
      <c r="Q105" s="13">
        <f t="shared" si="24"/>
        <v>0</v>
      </c>
      <c r="R105" s="27">
        <f t="shared" si="25"/>
        <v>65.506314362572368</v>
      </c>
      <c r="S105" s="12">
        <f t="shared" si="1"/>
        <v>6.0870296765136152E-4</v>
      </c>
      <c r="T105" s="12">
        <f t="shared" si="2"/>
        <v>1.507964462292947E-4</v>
      </c>
      <c r="U105" s="12">
        <f t="shared" si="3"/>
        <v>6.2133162785681849E-5</v>
      </c>
      <c r="V105" s="12">
        <f t="shared" si="4"/>
        <v>0</v>
      </c>
      <c r="W105" s="12">
        <f t="shared" si="5"/>
        <v>2.3620382993454751E-2</v>
      </c>
      <c r="X105" s="12">
        <f t="shared" si="6"/>
        <v>1.6022122533294236E-6</v>
      </c>
      <c r="Y105" s="12">
        <f t="shared" si="7"/>
        <v>2.685186283347988E-5</v>
      </c>
      <c r="Z105" s="12">
        <f t="shared" si="8"/>
        <v>8.4824947825813488E-6</v>
      </c>
      <c r="AA105" s="12">
        <f t="shared" si="26"/>
        <v>0</v>
      </c>
      <c r="AB105" s="12">
        <f t="shared" si="27"/>
        <v>0</v>
      </c>
      <c r="AC105" s="12">
        <f t="shared" si="9"/>
        <v>-6.0870296765136152E-4</v>
      </c>
      <c r="AD105" s="12">
        <f t="shared" si="28"/>
        <v>-1.3781407086643314</v>
      </c>
    </row>
    <row r="106" spans="1:30" x14ac:dyDescent="0.25">
      <c r="A106" s="26">
        <v>3</v>
      </c>
      <c r="B106" s="12">
        <f t="shared" si="10"/>
        <v>18.849555921538759</v>
      </c>
      <c r="C106" s="13">
        <f t="shared" si="11"/>
        <v>65.508739084398783</v>
      </c>
      <c r="D106" s="13">
        <f t="shared" si="12"/>
        <v>0.99999999301743159</v>
      </c>
      <c r="E106" s="13">
        <f t="shared" si="13"/>
        <v>9.1305456140750225E-4</v>
      </c>
      <c r="F106" s="13">
        <f t="shared" si="14"/>
        <v>3.5599255895159299E-6</v>
      </c>
      <c r="G106" s="13">
        <f t="shared" si="15"/>
        <v>2.2220254995418709E-7</v>
      </c>
      <c r="H106" s="13">
        <f t="shared" si="16"/>
        <v>3.7723653373404899E-8</v>
      </c>
      <c r="I106" s="13">
        <f t="shared" si="17"/>
        <v>0</v>
      </c>
      <c r="J106" s="13">
        <f t="shared" si="18"/>
        <v>5.4504167005220957E-3</v>
      </c>
      <c r="K106" s="13">
        <f t="shared" si="19"/>
        <v>2.5084086059947885E-11</v>
      </c>
      <c r="L106" s="13">
        <f t="shared" si="20"/>
        <v>0.99999999993825239</v>
      </c>
      <c r="M106" s="13">
        <f t="shared" si="21"/>
        <v>4.0277794258794857E-5</v>
      </c>
      <c r="N106" s="13">
        <f t="shared" si="22"/>
        <v>6.5092296833450014E-9</v>
      </c>
      <c r="O106" s="13">
        <f t="shared" si="0"/>
        <v>7.0309501314541123E-10</v>
      </c>
      <c r="P106" s="13">
        <f t="shared" si="23"/>
        <v>0</v>
      </c>
      <c r="Q106" s="13">
        <f t="shared" si="24"/>
        <v>0</v>
      </c>
      <c r="R106" s="27">
        <f t="shared" si="25"/>
        <v>65.503285360461462</v>
      </c>
      <c r="S106" s="12">
        <f t="shared" si="1"/>
        <v>9.1305431405477411E-4</v>
      </c>
      <c r="T106" s="12">
        <f t="shared" si="2"/>
        <v>2.2619466720078831E-4</v>
      </c>
      <c r="U106" s="12">
        <f t="shared" si="3"/>
        <v>9.3199744028605924E-5</v>
      </c>
      <c r="V106" s="12">
        <f t="shared" si="4"/>
        <v>0</v>
      </c>
      <c r="W106" s="12">
        <f t="shared" si="5"/>
        <v>3.5422342388696126E-2</v>
      </c>
      <c r="X106" s="12">
        <f t="shared" si="6"/>
        <v>2.4033183799915645E-6</v>
      </c>
      <c r="Y106" s="12">
        <f t="shared" si="7"/>
        <v>4.0277794239501018E-5</v>
      </c>
      <c r="Z106" s="12">
        <f t="shared" si="8"/>
        <v>1.272374217349056E-5</v>
      </c>
      <c r="AA106" s="12">
        <f t="shared" si="26"/>
        <v>0</v>
      </c>
      <c r="AB106" s="12">
        <f t="shared" si="27"/>
        <v>0</v>
      </c>
      <c r="AC106" s="12">
        <f t="shared" si="9"/>
        <v>-9.1305431405477411E-4</v>
      </c>
      <c r="AD106" s="12">
        <f t="shared" si="28"/>
        <v>-2.0667393905818567</v>
      </c>
    </row>
    <row r="107" spans="1:30" x14ac:dyDescent="0.25">
      <c r="A107" s="26">
        <v>4</v>
      </c>
      <c r="B107" s="12">
        <f t="shared" si="10"/>
        <v>25.132741228718345</v>
      </c>
      <c r="C107" s="13">
        <f t="shared" si="11"/>
        <v>65.508739084398783</v>
      </c>
      <c r="D107" s="13">
        <f t="shared" si="12"/>
        <v>0.99999998758654507</v>
      </c>
      <c r="E107" s="13">
        <f t="shared" si="13"/>
        <v>1.2174060818689863E-3</v>
      </c>
      <c r="F107" s="13">
        <f t="shared" si="14"/>
        <v>6.3287545863929357E-6</v>
      </c>
      <c r="G107" s="13">
        <f t="shared" si="15"/>
        <v>3.9502674725826306E-7</v>
      </c>
      <c r="H107" s="13">
        <f t="shared" si="16"/>
        <v>6.7064272979150584E-8</v>
      </c>
      <c r="I107" s="13">
        <f t="shared" si="17"/>
        <v>0</v>
      </c>
      <c r="J107" s="13">
        <f t="shared" si="18"/>
        <v>9.6849056440464105E-3</v>
      </c>
      <c r="K107" s="13">
        <f t="shared" si="19"/>
        <v>4.4594359363175729E-11</v>
      </c>
      <c r="L107" s="13">
        <f t="shared" si="20"/>
        <v>0.99999999989022648</v>
      </c>
      <c r="M107" s="13">
        <f t="shared" si="21"/>
        <v>5.3703725678393147E-5</v>
      </c>
      <c r="N107" s="13">
        <f t="shared" si="22"/>
        <v>1.1571962378064812E-8</v>
      </c>
      <c r="O107" s="13">
        <f t="shared" si="0"/>
        <v>1.249945832816969E-9</v>
      </c>
      <c r="P107" s="13">
        <f t="shared" si="23"/>
        <v>0</v>
      </c>
      <c r="Q107" s="13">
        <f t="shared" si="24"/>
        <v>0</v>
      </c>
      <c r="R107" s="27">
        <f t="shared" si="25"/>
        <v>65.499048299224683</v>
      </c>
      <c r="S107" s="12">
        <f t="shared" si="1"/>
        <v>1.2174054955516327E-3</v>
      </c>
      <c r="T107" s="12">
        <f t="shared" si="2"/>
        <v>3.0159288560049755E-4</v>
      </c>
      <c r="U107" s="12">
        <f t="shared" si="3"/>
        <v>1.2426632509162982E-4</v>
      </c>
      <c r="V107" s="12">
        <f t="shared" si="4"/>
        <v>0</v>
      </c>
      <c r="W107" s="12">
        <f t="shared" si="5"/>
        <v>4.7214438672188476E-2</v>
      </c>
      <c r="X107" s="12">
        <f t="shared" si="6"/>
        <v>3.2044245066506208E-6</v>
      </c>
      <c r="Y107" s="12">
        <f t="shared" si="7"/>
        <v>5.3703725632659602E-5</v>
      </c>
      <c r="Z107" s="12">
        <f t="shared" si="8"/>
        <v>1.6964989563942018E-5</v>
      </c>
      <c r="AA107" s="12">
        <f t="shared" si="26"/>
        <v>0</v>
      </c>
      <c r="AB107" s="12">
        <f t="shared" si="27"/>
        <v>0</v>
      </c>
      <c r="AC107" s="12">
        <f t="shared" si="9"/>
        <v>-1.2174054955516327E-3</v>
      </c>
      <c r="AD107" s="12">
        <f t="shared" si="28"/>
        <v>-2.7547729485317447</v>
      </c>
    </row>
    <row r="108" spans="1:30" x14ac:dyDescent="0.25">
      <c r="A108" s="26">
        <v>5</v>
      </c>
      <c r="B108" s="12">
        <f t="shared" si="10"/>
        <v>31.415926535897931</v>
      </c>
      <c r="C108" s="13">
        <f t="shared" si="11"/>
        <v>65.508739084398783</v>
      </c>
      <c r="D108" s="13">
        <f t="shared" si="12"/>
        <v>0.99999998060397677</v>
      </c>
      <c r="E108" s="13">
        <f t="shared" si="13"/>
        <v>1.5217576023238847E-3</v>
      </c>
      <c r="F108" s="13">
        <f t="shared" si="14"/>
        <v>9.8886749880223466E-6</v>
      </c>
      <c r="G108" s="13">
        <f t="shared" si="15"/>
        <v>6.172292774635968E-7</v>
      </c>
      <c r="H108" s="13">
        <f t="shared" si="16"/>
        <v>1.0478792606128889E-7</v>
      </c>
      <c r="I108" s="13">
        <f t="shared" si="17"/>
        <v>0</v>
      </c>
      <c r="J108" s="13">
        <f t="shared" si="18"/>
        <v>1.5123188882178128E-2</v>
      </c>
      <c r="K108" s="13">
        <f t="shared" si="19"/>
        <v>6.9678445422994832E-11</v>
      </c>
      <c r="L108" s="13">
        <f t="shared" si="20"/>
        <v>0.99999999982847887</v>
      </c>
      <c r="M108" s="13">
        <f t="shared" si="21"/>
        <v>6.712965709799143E-5</v>
      </c>
      <c r="N108" s="13">
        <f t="shared" si="22"/>
        <v>1.808119205273775E-8</v>
      </c>
      <c r="O108" s="13">
        <f t="shared" si="0"/>
        <v>1.9530408458612009E-9</v>
      </c>
      <c r="P108" s="13">
        <f t="shared" si="23"/>
        <v>0</v>
      </c>
      <c r="Q108" s="13">
        <f t="shared" si="24"/>
        <v>0</v>
      </c>
      <c r="R108" s="27">
        <f t="shared" si="25"/>
        <v>65.493606708754925</v>
      </c>
      <c r="S108" s="12">
        <f t="shared" si="1"/>
        <v>1.5217564571733664E-3</v>
      </c>
      <c r="T108" s="12">
        <f t="shared" si="2"/>
        <v>3.7699110057116134E-4</v>
      </c>
      <c r="U108" s="12">
        <f t="shared" si="3"/>
        <v>1.5533290591478679E-4</v>
      </c>
      <c r="V108" s="12">
        <f t="shared" si="4"/>
        <v>0</v>
      </c>
      <c r="W108" s="12">
        <f t="shared" si="5"/>
        <v>5.8993409754496788E-2</v>
      </c>
      <c r="X108" s="12">
        <f t="shared" si="6"/>
        <v>4.0055306333055634E-6</v>
      </c>
      <c r="Y108" s="12">
        <f t="shared" si="7"/>
        <v>6.7129657008668092E-5</v>
      </c>
      <c r="Z108" s="12">
        <f t="shared" si="8"/>
        <v>2.120623695378314E-5</v>
      </c>
      <c r="AA108" s="12">
        <f t="shared" si="26"/>
        <v>0</v>
      </c>
      <c r="AB108" s="12">
        <f t="shared" si="27"/>
        <v>0</v>
      </c>
      <c r="AC108" s="12">
        <f t="shared" si="9"/>
        <v>-1.5217564571733664E-3</v>
      </c>
      <c r="AD108" s="12">
        <f t="shared" si="28"/>
        <v>-3.4420544754598055</v>
      </c>
    </row>
    <row r="109" spans="1:30" x14ac:dyDescent="0.25">
      <c r="A109" s="26">
        <v>6</v>
      </c>
      <c r="B109" s="12">
        <f t="shared" si="10"/>
        <v>37.699111843077517</v>
      </c>
      <c r="C109" s="13">
        <f t="shared" si="11"/>
        <v>65.508739084398783</v>
      </c>
      <c r="D109" s="13">
        <f t="shared" si="12"/>
        <v>0.99999997206972646</v>
      </c>
      <c r="E109" s="13">
        <f t="shared" si="13"/>
        <v>1.8261091227705507E-3</v>
      </c>
      <c r="F109" s="13">
        <f t="shared" si="14"/>
        <v>1.4239684849674943E-5</v>
      </c>
      <c r="G109" s="13">
        <f t="shared" si="15"/>
        <v>8.8881013099463275E-7</v>
      </c>
      <c r="H109" s="13">
        <f t="shared" si="16"/>
        <v>1.508946125105949E-7</v>
      </c>
      <c r="I109" s="13">
        <f t="shared" si="17"/>
        <v>0</v>
      </c>
      <c r="J109" s="13">
        <f t="shared" si="18"/>
        <v>2.1760744799206727E-2</v>
      </c>
      <c r="K109" s="13">
        <f t="shared" si="19"/>
        <v>1.0033827289428998E-10</v>
      </c>
      <c r="L109" s="13">
        <f t="shared" si="20"/>
        <v>0.99999999975300968</v>
      </c>
      <c r="M109" s="13">
        <f t="shared" si="21"/>
        <v>8.0555588517589713E-5</v>
      </c>
      <c r="N109" s="13">
        <f t="shared" si="22"/>
        <v>2.6036918704111798E-8</v>
      </c>
      <c r="O109" s="13">
        <f t="shared" si="0"/>
        <v>2.8123800522401649E-9</v>
      </c>
      <c r="P109" s="13">
        <f t="shared" si="23"/>
        <v>0</v>
      </c>
      <c r="Q109" s="13">
        <f t="shared" si="24"/>
        <v>0</v>
      </c>
      <c r="R109" s="27">
        <f t="shared" si="25"/>
        <v>65.486965110669829</v>
      </c>
      <c r="S109" s="12">
        <f t="shared" si="1"/>
        <v>1.8261071439516449E-3</v>
      </c>
      <c r="T109" s="12">
        <f t="shared" si="2"/>
        <v>4.5238931125551863E-4</v>
      </c>
      <c r="U109" s="12">
        <f t="shared" si="3"/>
        <v>1.8639948643811008E-4</v>
      </c>
      <c r="V109" s="12">
        <f t="shared" si="4"/>
        <v>0</v>
      </c>
      <c r="W109" s="12">
        <f t="shared" si="5"/>
        <v>7.0756015364199468E-2</v>
      </c>
      <c r="X109" s="12">
        <f t="shared" si="6"/>
        <v>4.8066367599553667E-6</v>
      </c>
      <c r="Y109" s="12">
        <f t="shared" si="7"/>
        <v>8.0555588363238979E-5</v>
      </c>
      <c r="Z109" s="12">
        <f t="shared" si="8"/>
        <v>2.5447484342861335E-5</v>
      </c>
      <c r="AA109" s="12">
        <f t="shared" si="26"/>
        <v>0</v>
      </c>
      <c r="AB109" s="12">
        <f t="shared" si="27"/>
        <v>0</v>
      </c>
      <c r="AC109" s="12">
        <f t="shared" si="9"/>
        <v>-1.8261071439516449E-3</v>
      </c>
      <c r="AD109" s="12">
        <f t="shared" si="28"/>
        <v>-4.1283983143919505</v>
      </c>
    </row>
    <row r="110" spans="1:30" x14ac:dyDescent="0.25">
      <c r="A110" s="26">
        <v>7</v>
      </c>
      <c r="B110" s="12">
        <f t="shared" si="10"/>
        <v>43.982297150257104</v>
      </c>
      <c r="C110" s="13">
        <f t="shared" si="11"/>
        <v>65.508739084398783</v>
      </c>
      <c r="D110" s="13">
        <f t="shared" si="12"/>
        <v>0.99999996198379437</v>
      </c>
      <c r="E110" s="13">
        <f t="shared" si="13"/>
        <v>2.1304606432073388E-3</v>
      </c>
      <c r="F110" s="13">
        <f t="shared" si="14"/>
        <v>1.9381781796392621E-5</v>
      </c>
      <c r="G110" s="13">
        <f t="shared" si="15"/>
        <v>1.209769301290995E-6</v>
      </c>
      <c r="H110" s="13">
        <f t="shared" si="16"/>
        <v>2.053843341222263E-7</v>
      </c>
      <c r="I110" s="13">
        <f t="shared" si="17"/>
        <v>0</v>
      </c>
      <c r="J110" s="13">
        <f t="shared" si="18"/>
        <v>2.9592072532557613E-2</v>
      </c>
      <c r="K110" s="13">
        <f t="shared" si="19"/>
        <v>1.3657191312206905E-10</v>
      </c>
      <c r="L110" s="13">
        <f t="shared" si="20"/>
        <v>0.99999999966381869</v>
      </c>
      <c r="M110" s="13">
        <f t="shared" si="21"/>
        <v>9.3981519937187997E-5</v>
      </c>
      <c r="N110" s="13">
        <f t="shared" si="22"/>
        <v>3.5439138470902397E-8</v>
      </c>
      <c r="O110" s="13">
        <f t="shared" si="0"/>
        <v>3.8279615232525546E-9</v>
      </c>
      <c r="P110" s="13">
        <f t="shared" si="23"/>
        <v>0</v>
      </c>
      <c r="Q110" s="13">
        <f t="shared" si="24"/>
        <v>0</v>
      </c>
      <c r="R110" s="27">
        <f t="shared" si="25"/>
        <v>65.479129005834395</v>
      </c>
      <c r="S110" s="12">
        <f t="shared" si="1"/>
        <v>2.1304575009184379E-3</v>
      </c>
      <c r="T110" s="12">
        <f t="shared" si="2"/>
        <v>5.2778751679630881E-4</v>
      </c>
      <c r="U110" s="12">
        <f t="shared" si="3"/>
        <v>2.1746606660163302E-4</v>
      </c>
      <c r="V110" s="12">
        <f t="shared" si="4"/>
        <v>0</v>
      </c>
      <c r="W110" s="12">
        <f t="shared" si="5"/>
        <v>8.2499042332077666E-2</v>
      </c>
      <c r="X110" s="12">
        <f t="shared" si="6"/>
        <v>5.6077428865989993E-6</v>
      </c>
      <c r="Y110" s="12">
        <f t="shared" si="7"/>
        <v>9.3981519692084756E-5</v>
      </c>
      <c r="Z110" s="12">
        <f t="shared" si="8"/>
        <v>2.9688731731024024E-5</v>
      </c>
      <c r="AA110" s="12">
        <f t="shared" si="26"/>
        <v>0</v>
      </c>
      <c r="AB110" s="12">
        <f t="shared" si="27"/>
        <v>0</v>
      </c>
      <c r="AC110" s="12">
        <f t="shared" si="9"/>
        <v>-2.1304575009184379E-3</v>
      </c>
      <c r="AD110" s="12">
        <f t="shared" si="28"/>
        <v>-4.8136203611959418</v>
      </c>
    </row>
    <row r="111" spans="1:30" x14ac:dyDescent="0.25">
      <c r="A111" s="26">
        <v>8</v>
      </c>
      <c r="B111" s="12">
        <f t="shared" si="10"/>
        <v>50.26548245743669</v>
      </c>
      <c r="C111" s="13">
        <f t="shared" si="11"/>
        <v>65.508739084398783</v>
      </c>
      <c r="D111" s="13">
        <f t="shared" si="12"/>
        <v>0.99999995034618039</v>
      </c>
      <c r="E111" s="13">
        <f t="shared" si="13"/>
        <v>2.4348121636326007E-3</v>
      </c>
      <c r="F111" s="13">
        <f t="shared" si="14"/>
        <v>2.5314963015276493E-5</v>
      </c>
      <c r="G111" s="13">
        <f t="shared" si="15"/>
        <v>1.5801067732355586E-6</v>
      </c>
      <c r="H111" s="13">
        <f t="shared" si="16"/>
        <v>2.6825708688110391E-7</v>
      </c>
      <c r="I111" s="13">
        <f t="shared" si="17"/>
        <v>0</v>
      </c>
      <c r="J111" s="13">
        <f t="shared" si="18"/>
        <v>3.8610707074957847E-2</v>
      </c>
      <c r="K111" s="13">
        <f t="shared" si="19"/>
        <v>1.7837936610626228E-10</v>
      </c>
      <c r="L111" s="13">
        <f t="shared" si="20"/>
        <v>0.99999999956090602</v>
      </c>
      <c r="M111" s="13">
        <f t="shared" si="21"/>
        <v>1.0740745135678629E-4</v>
      </c>
      <c r="N111" s="13">
        <f t="shared" si="22"/>
        <v>4.6287855205722043E-8</v>
      </c>
      <c r="O111" s="13">
        <f t="shared" si="0"/>
        <v>4.9997871874984961E-9</v>
      </c>
      <c r="P111" s="13">
        <f t="shared" si="23"/>
        <v>0</v>
      </c>
      <c r="Q111" s="13">
        <f t="shared" si="24"/>
        <v>0</v>
      </c>
      <c r="R111" s="27">
        <f t="shared" si="25"/>
        <v>65.470104859258655</v>
      </c>
      <c r="S111" s="12">
        <f t="shared" si="1"/>
        <v>2.4348074731060745E-3</v>
      </c>
      <c r="T111" s="12">
        <f t="shared" si="2"/>
        <v>6.0318571633627166E-4</v>
      </c>
      <c r="U111" s="12">
        <f t="shared" si="3"/>
        <v>2.4853264634538887E-4</v>
      </c>
      <c r="V111" s="12">
        <f t="shared" si="4"/>
        <v>0</v>
      </c>
      <c r="W111" s="12">
        <f t="shared" si="5"/>
        <v>9.4219309763698647E-2</v>
      </c>
      <c r="X111" s="12">
        <f t="shared" si="6"/>
        <v>6.4088490132354338E-6</v>
      </c>
      <c r="Y111" s="12">
        <f t="shared" si="7"/>
        <v>1.0740745099091791E-4</v>
      </c>
      <c r="Z111" s="12">
        <f t="shared" si="8"/>
        <v>3.392997911811862E-5</v>
      </c>
      <c r="AA111" s="12">
        <f t="shared" si="26"/>
        <v>0</v>
      </c>
      <c r="AB111" s="12">
        <f t="shared" si="27"/>
        <v>0</v>
      </c>
      <c r="AC111" s="12">
        <f t="shared" si="9"/>
        <v>-2.4348074731060745E-3</v>
      </c>
      <c r="AD111" s="12">
        <f t="shared" si="28"/>
        <v>-5.4975383609485888</v>
      </c>
    </row>
    <row r="112" spans="1:30" x14ac:dyDescent="0.25">
      <c r="A112" s="26">
        <v>9</v>
      </c>
      <c r="B112" s="12">
        <f t="shared" si="10"/>
        <v>56.548667764616276</v>
      </c>
      <c r="C112" s="13">
        <f t="shared" si="11"/>
        <v>65.508739084398783</v>
      </c>
      <c r="D112" s="13">
        <f t="shared" si="12"/>
        <v>0.99999993715688462</v>
      </c>
      <c r="E112" s="13">
        <f t="shared" si="13"/>
        <v>2.7391636840446922E-3</v>
      </c>
      <c r="F112" s="13">
        <f t="shared" si="14"/>
        <v>3.2039225267061985E-5</v>
      </c>
      <c r="G112" s="13">
        <f t="shared" si="15"/>
        <v>1.999822540512343E-6</v>
      </c>
      <c r="H112" s="13">
        <f t="shared" si="16"/>
        <v>3.3951287253384108E-7</v>
      </c>
      <c r="I112" s="13">
        <f t="shared" si="17"/>
        <v>0</v>
      </c>
      <c r="J112" s="13">
        <f t="shared" si="18"/>
        <v>4.8809236914852963E-2</v>
      </c>
      <c r="K112" s="13">
        <f t="shared" si="19"/>
        <v>2.2576063184678923E-10</v>
      </c>
      <c r="L112" s="13">
        <f t="shared" si="20"/>
        <v>0.99999999944427165</v>
      </c>
      <c r="M112" s="13">
        <f t="shared" si="21"/>
        <v>1.2083338277638458E-4</v>
      </c>
      <c r="N112" s="13">
        <f t="shared" si="22"/>
        <v>5.8583066974495766E-8</v>
      </c>
      <c r="O112" s="13">
        <f t="shared" si="0"/>
        <v>6.3278551162598221E-9</v>
      </c>
      <c r="P112" s="13">
        <f t="shared" si="23"/>
        <v>0</v>
      </c>
      <c r="Q112" s="13">
        <f t="shared" si="24"/>
        <v>0</v>
      </c>
      <c r="R112" s="27">
        <f t="shared" si="25"/>
        <v>65.459900082457409</v>
      </c>
      <c r="S112" s="12">
        <f t="shared" si="1"/>
        <v>2.7391570055473073E-3</v>
      </c>
      <c r="T112" s="12">
        <f t="shared" si="2"/>
        <v>6.7858390901814729E-4</v>
      </c>
      <c r="U112" s="12">
        <f t="shared" si="3"/>
        <v>2.7959922560941088E-4</v>
      </c>
      <c r="V112" s="12">
        <f t="shared" si="4"/>
        <v>0</v>
      </c>
      <c r="W112" s="12">
        <f t="shared" si="5"/>
        <v>0.10591367407997759</v>
      </c>
      <c r="X112" s="12">
        <f t="shared" si="6"/>
        <v>7.209955139863642E-6</v>
      </c>
      <c r="Y112" s="12">
        <f t="shared" si="7"/>
        <v>1.2083338225545087E-4</v>
      </c>
      <c r="Z112" s="12">
        <f t="shared" si="8"/>
        <v>3.8171226503992541E-5</v>
      </c>
      <c r="AA112" s="12">
        <f t="shared" si="26"/>
        <v>0</v>
      </c>
      <c r="AB112" s="12">
        <f t="shared" si="27"/>
        <v>0</v>
      </c>
      <c r="AC112" s="12">
        <f t="shared" si="9"/>
        <v>-2.7391570055473073E-3</v>
      </c>
      <c r="AD112" s="12">
        <f t="shared" si="28"/>
        <v>-6.1799721967386745</v>
      </c>
    </row>
    <row r="113" spans="1:30" x14ac:dyDescent="0.25">
      <c r="A113" s="26">
        <v>10</v>
      </c>
      <c r="B113" s="12">
        <f t="shared" si="10"/>
        <v>62.831853071795862</v>
      </c>
      <c r="C113" s="13">
        <f t="shared" si="11"/>
        <v>65.508739084398783</v>
      </c>
      <c r="D113" s="13">
        <f t="shared" si="12"/>
        <v>0.99999992241590685</v>
      </c>
      <c r="E113" s="13">
        <f t="shared" si="13"/>
        <v>3.0435152044419652E-3</v>
      </c>
      <c r="F113" s="13">
        <f t="shared" si="14"/>
        <v>3.9554564872622E-5</v>
      </c>
      <c r="G113" s="13">
        <f t="shared" si="15"/>
        <v>2.4689165824626587E-6</v>
      </c>
      <c r="H113" s="13">
        <f t="shared" si="16"/>
        <v>4.1915169087412406E-7</v>
      </c>
      <c r="I113" s="13">
        <f t="shared" si="17"/>
        <v>0</v>
      </c>
      <c r="J113" s="13">
        <f t="shared" si="18"/>
        <v>6.0179324114907347E-2</v>
      </c>
      <c r="K113" s="13">
        <f t="shared" si="19"/>
        <v>2.7871763899849167E-10</v>
      </c>
      <c r="L113" s="13">
        <f t="shared" si="20"/>
        <v>0.9999999993139157</v>
      </c>
      <c r="M113" s="13">
        <f t="shared" si="21"/>
        <v>1.3425931419598286E-4</v>
      </c>
      <c r="N113" s="13">
        <f t="shared" si="22"/>
        <v>7.2324773771080857E-8</v>
      </c>
      <c r="O113" s="13">
        <f t="shared" si="0"/>
        <v>7.8121672381197941E-9</v>
      </c>
      <c r="P113" s="13">
        <f t="shared" si="23"/>
        <v>0</v>
      </c>
      <c r="Q113" s="13">
        <f t="shared" si="24"/>
        <v>0</v>
      </c>
      <c r="R113" s="27">
        <f t="shared" si="25"/>
        <v>65.448523013371599</v>
      </c>
      <c r="S113" s="12">
        <f t="shared" si="1"/>
        <v>3.043506043275366E-3</v>
      </c>
      <c r="T113" s="12">
        <f t="shared" si="2"/>
        <v>7.5398209398467621E-4</v>
      </c>
      <c r="U113" s="12">
        <f t="shared" si="3"/>
        <v>3.1066580433373244E-4</v>
      </c>
      <c r="V113" s="12">
        <f t="shared" si="4"/>
        <v>0</v>
      </c>
      <c r="W113" s="12">
        <f t="shared" si="5"/>
        <v>0.11757903390630206</v>
      </c>
      <c r="X113" s="12">
        <f t="shared" si="6"/>
        <v>8.0110612664825963E-6</v>
      </c>
      <c r="Y113" s="12">
        <f t="shared" si="7"/>
        <v>1.3425931348139616E-4</v>
      </c>
      <c r="Z113" s="12">
        <f t="shared" si="8"/>
        <v>4.2412473888493198E-5</v>
      </c>
      <c r="AA113" s="12">
        <f t="shared" si="26"/>
        <v>0</v>
      </c>
      <c r="AB113" s="12">
        <f t="shared" si="27"/>
        <v>0</v>
      </c>
      <c r="AC113" s="12">
        <f t="shared" si="9"/>
        <v>-3.043506043275366E-3</v>
      </c>
      <c r="AD113" s="12">
        <f t="shared" si="28"/>
        <v>-6.8607441697931515</v>
      </c>
    </row>
    <row r="114" spans="1:30" x14ac:dyDescent="0.25">
      <c r="A114" s="26">
        <f>A113+5</f>
        <v>15</v>
      </c>
      <c r="B114" s="12">
        <f t="shared" si="10"/>
        <v>94.247779607693786</v>
      </c>
      <c r="C114" s="13">
        <f t="shared" si="11"/>
        <v>65.508739084398783</v>
      </c>
      <c r="D114" s="13">
        <f t="shared" si="12"/>
        <v>0.99999982543579047</v>
      </c>
      <c r="E114" s="13">
        <f t="shared" si="13"/>
        <v>4.5652728061484375E-3</v>
      </c>
      <c r="F114" s="13">
        <f t="shared" si="14"/>
        <v>8.899726441345538E-5</v>
      </c>
      <c r="G114" s="13">
        <f t="shared" si="15"/>
        <v>5.5550603366802459E-6</v>
      </c>
      <c r="H114" s="13">
        <f t="shared" si="16"/>
        <v>9.4309124661079602E-7</v>
      </c>
      <c r="I114" s="13">
        <f t="shared" si="17"/>
        <v>0</v>
      </c>
      <c r="J114" s="13">
        <f t="shared" si="18"/>
        <v>0.13424944567301586</v>
      </c>
      <c r="K114" s="13">
        <f t="shared" si="19"/>
        <v>6.2711372340656266E-10</v>
      </c>
      <c r="L114" s="13">
        <f t="shared" si="20"/>
        <v>0.99999999845631027</v>
      </c>
      <c r="M114" s="13">
        <f t="shared" si="21"/>
        <v>2.0138897129397428E-4</v>
      </c>
      <c r="N114" s="13">
        <f t="shared" si="22"/>
        <v>1.6273074062021466E-7</v>
      </c>
      <c r="O114" s="13">
        <f t="shared" si="0"/>
        <v>1.7577375311561293E-8</v>
      </c>
      <c r="P114" s="13">
        <f t="shared" si="23"/>
        <v>0</v>
      </c>
      <c r="Q114" s="13">
        <f t="shared" si="24"/>
        <v>0</v>
      </c>
      <c r="R114" s="27">
        <f t="shared" si="25"/>
        <v>65.37440695867771</v>
      </c>
      <c r="S114" s="12">
        <f t="shared" si="1"/>
        <v>4.5652418874223598E-3</v>
      </c>
      <c r="T114" s="12">
        <f t="shared" si="2"/>
        <v>1.1309728730830807E-3</v>
      </c>
      <c r="U114" s="12">
        <f t="shared" si="3"/>
        <v>4.6599868776099786E-4</v>
      </c>
      <c r="V114" s="12">
        <f t="shared" si="4"/>
        <v>0</v>
      </c>
      <c r="W114" s="12">
        <f t="shared" si="5"/>
        <v>0.17536575029872262</v>
      </c>
      <c r="X114" s="12">
        <f t="shared" si="6"/>
        <v>1.2016591899402565E-5</v>
      </c>
      <c r="Y114" s="12">
        <f t="shared" si="7"/>
        <v>2.0138896888224417E-4</v>
      </c>
      <c r="Z114" s="12">
        <f t="shared" si="8"/>
        <v>6.3618710785057087E-5</v>
      </c>
      <c r="AA114" s="12">
        <f t="shared" si="26"/>
        <v>0</v>
      </c>
      <c r="AB114" s="12">
        <f t="shared" si="27"/>
        <v>0</v>
      </c>
      <c r="AC114" s="12">
        <f t="shared" si="9"/>
        <v>-4.5652418874223598E-3</v>
      </c>
      <c r="AD114" s="12">
        <f t="shared" si="28"/>
        <v>-10.233659047012173</v>
      </c>
    </row>
    <row r="115" spans="1:30" x14ac:dyDescent="0.25">
      <c r="A115" s="26">
        <f t="shared" ref="A115:A131" si="29">A114+5</f>
        <v>20</v>
      </c>
      <c r="B115" s="12">
        <f t="shared" si="10"/>
        <v>125.66370614359172</v>
      </c>
      <c r="C115" s="13">
        <f t="shared" si="11"/>
        <v>65.508739084398783</v>
      </c>
      <c r="D115" s="13">
        <f t="shared" si="12"/>
        <v>0.99999968966362751</v>
      </c>
      <c r="E115" s="13">
        <f t="shared" si="13"/>
        <v>6.0870304072374983E-3</v>
      </c>
      <c r="F115" s="13">
        <f t="shared" si="14"/>
        <v>1.5821609823819371E-4</v>
      </c>
      <c r="G115" s="13">
        <f t="shared" si="15"/>
        <v>9.8756579089483537E-6</v>
      </c>
      <c r="H115" s="13">
        <f t="shared" si="16"/>
        <v>1.6766065206302049E-6</v>
      </c>
      <c r="I115" s="13">
        <f t="shared" si="17"/>
        <v>0</v>
      </c>
      <c r="J115" s="13">
        <f t="shared" si="18"/>
        <v>0.23587008228984907</v>
      </c>
      <c r="K115" s="13">
        <f t="shared" si="19"/>
        <v>1.1148705559403048E-9</v>
      </c>
      <c r="L115" s="13">
        <f t="shared" si="20"/>
        <v>0.99999999725566269</v>
      </c>
      <c r="M115" s="13">
        <f t="shared" si="21"/>
        <v>2.6851862839196572E-4</v>
      </c>
      <c r="N115" s="13">
        <f t="shared" si="22"/>
        <v>2.8929908954230962E-7</v>
      </c>
      <c r="O115" s="13">
        <f t="shared" si="0"/>
        <v>3.124866698166625E-8</v>
      </c>
      <c r="P115" s="13">
        <f t="shared" si="23"/>
        <v>0</v>
      </c>
      <c r="Q115" s="13">
        <f t="shared" si="24"/>
        <v>0</v>
      </c>
      <c r="R115" s="27">
        <f t="shared" si="25"/>
        <v>65.272722016612491</v>
      </c>
      <c r="S115" s="12">
        <f t="shared" si="1"/>
        <v>6.0869571191061551E-3</v>
      </c>
      <c r="T115" s="12">
        <f t="shared" si="2"/>
        <v>1.5079633307092768E-3</v>
      </c>
      <c r="U115" s="12">
        <f t="shared" si="3"/>
        <v>6.213315487007485E-4</v>
      </c>
      <c r="V115" s="12">
        <f t="shared" si="4"/>
        <v>0</v>
      </c>
      <c r="W115" s="12">
        <f t="shared" si="5"/>
        <v>0.23199409723245099</v>
      </c>
      <c r="X115" s="12">
        <f t="shared" si="6"/>
        <v>1.6022122531936939E-5</v>
      </c>
      <c r="Y115" s="12">
        <f t="shared" si="7"/>
        <v>2.6851862267527222E-4</v>
      </c>
      <c r="Z115" s="12">
        <f t="shared" si="8"/>
        <v>8.4824947624401759E-5</v>
      </c>
      <c r="AA115" s="12">
        <f t="shared" si="26"/>
        <v>0</v>
      </c>
      <c r="AB115" s="12">
        <f t="shared" si="27"/>
        <v>0</v>
      </c>
      <c r="AC115" s="12">
        <f t="shared" si="9"/>
        <v>-6.0869571191061551E-3</v>
      </c>
      <c r="AD115" s="12">
        <f t="shared" si="28"/>
        <v>-13.54020308173615</v>
      </c>
    </row>
    <row r="116" spans="1:30" x14ac:dyDescent="0.25">
      <c r="A116" s="26">
        <f t="shared" si="29"/>
        <v>25</v>
      </c>
      <c r="B116" s="12">
        <f t="shared" si="10"/>
        <v>157.07963267948966</v>
      </c>
      <c r="C116" s="13">
        <f t="shared" si="11"/>
        <v>65.508739084398783</v>
      </c>
      <c r="D116" s="13">
        <f t="shared" si="12"/>
        <v>0.99999951509941798</v>
      </c>
      <c r="E116" s="13">
        <f t="shared" si="13"/>
        <v>7.6087880075033426E-3</v>
      </c>
      <c r="F116" s="13">
        <f t="shared" si="14"/>
        <v>2.4721012086174372E-4</v>
      </c>
      <c r="G116" s="13">
        <f t="shared" si="15"/>
        <v>1.5430705615252595E-5</v>
      </c>
      <c r="H116" s="13">
        <f t="shared" si="16"/>
        <v>2.6196974058346098E-6</v>
      </c>
      <c r="I116" s="13">
        <f t="shared" si="17"/>
        <v>0</v>
      </c>
      <c r="J116" s="13">
        <f t="shared" si="18"/>
        <v>0.36312569294475794</v>
      </c>
      <c r="K116" s="13">
        <f t="shared" si="19"/>
        <v>1.7419842792663748E-9</v>
      </c>
      <c r="L116" s="13">
        <f t="shared" si="20"/>
        <v>0.99999999571197296</v>
      </c>
      <c r="M116" s="13">
        <f t="shared" si="21"/>
        <v>3.3564828548995716E-4</v>
      </c>
      <c r="N116" s="13">
        <f t="shared" si="22"/>
        <v>4.5202981702786673E-7</v>
      </c>
      <c r="O116" s="13">
        <f t="shared" si="0"/>
        <v>4.882604415864547E-8</v>
      </c>
      <c r="P116" s="13">
        <f t="shared" si="23"/>
        <v>0</v>
      </c>
      <c r="Q116" s="13">
        <f t="shared" si="24"/>
        <v>0</v>
      </c>
      <c r="R116" s="27">
        <f t="shared" si="25"/>
        <v>65.145383729138345</v>
      </c>
      <c r="S116" s="12">
        <f t="shared" si="1"/>
        <v>7.6086448683816907E-3</v>
      </c>
      <c r="T116" s="12">
        <f t="shared" si="2"/>
        <v>1.8849533597067143E-3</v>
      </c>
      <c r="U116" s="12">
        <f t="shared" si="3"/>
        <v>7.7666437965715623E-4</v>
      </c>
      <c r="V116" s="12">
        <f t="shared" si="4"/>
        <v>0</v>
      </c>
      <c r="W116" s="12">
        <f t="shared" si="5"/>
        <v>0.28714824030276109</v>
      </c>
      <c r="X116" s="12">
        <f t="shared" si="6"/>
        <v>2.0027653163957189E-5</v>
      </c>
      <c r="Y116" s="12">
        <f t="shared" si="7"/>
        <v>3.3564827432454043E-4</v>
      </c>
      <c r="Z116" s="12">
        <f t="shared" si="8"/>
        <v>1.0603118438745411E-4</v>
      </c>
      <c r="AA116" s="12">
        <f t="shared" si="26"/>
        <v>0</v>
      </c>
      <c r="AB116" s="12">
        <f t="shared" si="27"/>
        <v>0</v>
      </c>
      <c r="AC116" s="12">
        <f t="shared" si="9"/>
        <v>-7.6086448683816907E-3</v>
      </c>
      <c r="AD116" s="12">
        <f t="shared" si="28"/>
        <v>-16.762279908467686</v>
      </c>
    </row>
    <row r="117" spans="1:30" x14ac:dyDescent="0.25">
      <c r="A117" s="26">
        <f t="shared" si="29"/>
        <v>30</v>
      </c>
      <c r="B117" s="12">
        <f t="shared" si="10"/>
        <v>188.49555921538757</v>
      </c>
      <c r="C117" s="13">
        <f t="shared" si="11"/>
        <v>65.508739084398783</v>
      </c>
      <c r="D117" s="13">
        <f t="shared" si="12"/>
        <v>0.99999930174316198</v>
      </c>
      <c r="E117" s="13">
        <f t="shared" si="13"/>
        <v>9.1305456067401671E-3</v>
      </c>
      <c r="F117" s="13">
        <f t="shared" si="14"/>
        <v>3.559781167362974E-4</v>
      </c>
      <c r="G117" s="13">
        <f t="shared" si="15"/>
        <v>2.2220198716810084E-5</v>
      </c>
      <c r="H117" s="13">
        <f t="shared" si="16"/>
        <v>3.7723637625983158E-6</v>
      </c>
      <c r="I117" s="13">
        <f t="shared" si="17"/>
        <v>0</v>
      </c>
      <c r="J117" s="13">
        <f t="shared" si="18"/>
        <v>0.51376084963021007</v>
      </c>
      <c r="K117" s="13">
        <f t="shared" si="19"/>
        <v>2.5084587506644534E-9</v>
      </c>
      <c r="L117" s="13">
        <f t="shared" si="20"/>
        <v>0.99999999382524096</v>
      </c>
      <c r="M117" s="13">
        <f t="shared" si="21"/>
        <v>4.0277794258794855E-4</v>
      </c>
      <c r="N117" s="13">
        <f t="shared" si="22"/>
        <v>6.5092292104437215E-7</v>
      </c>
      <c r="O117" s="13">
        <f t="shared" si="0"/>
        <v>7.030950296147523E-8</v>
      </c>
      <c r="P117" s="13">
        <f t="shared" si="23"/>
        <v>0</v>
      </c>
      <c r="Q117" s="13">
        <f t="shared" si="24"/>
        <v>0</v>
      </c>
      <c r="R117" s="27">
        <f t="shared" si="25"/>
        <v>64.994647525473439</v>
      </c>
      <c r="S117" s="12">
        <f t="shared" si="1"/>
        <v>9.1302982660546907E-3</v>
      </c>
      <c r="T117" s="12">
        <f t="shared" si="2"/>
        <v>2.2619428529195738E-3</v>
      </c>
      <c r="U117" s="12">
        <f t="shared" si="3"/>
        <v>9.3199717313440129E-4</v>
      </c>
      <c r="V117" s="12">
        <f t="shared" si="4"/>
        <v>0</v>
      </c>
      <c r="W117" s="12">
        <f t="shared" si="5"/>
        <v>0.3405640652071063</v>
      </c>
      <c r="X117" s="12">
        <f t="shared" si="6"/>
        <v>2.4033183795334775E-5</v>
      </c>
      <c r="Y117" s="12">
        <f t="shared" si="7"/>
        <v>4.0277792329410892E-4</v>
      </c>
      <c r="Z117" s="12">
        <f t="shared" si="8"/>
        <v>1.2723742105514102E-4</v>
      </c>
      <c r="AA117" s="12">
        <f t="shared" si="26"/>
        <v>0</v>
      </c>
      <c r="AB117" s="12">
        <f t="shared" si="27"/>
        <v>0</v>
      </c>
      <c r="AC117" s="12">
        <f t="shared" si="9"/>
        <v>-9.1302982660546907E-3</v>
      </c>
      <c r="AD117" s="12">
        <f t="shared" si="28"/>
        <v>-19.884756505323224</v>
      </c>
    </row>
    <row r="118" spans="1:30" x14ac:dyDescent="0.25">
      <c r="A118" s="26">
        <f t="shared" si="29"/>
        <v>35</v>
      </c>
      <c r="B118" s="12">
        <f t="shared" si="10"/>
        <v>219.91148575128551</v>
      </c>
      <c r="C118" s="13">
        <f t="shared" si="11"/>
        <v>65.508739084398783</v>
      </c>
      <c r="D118" s="13">
        <f t="shared" si="12"/>
        <v>0.9999990495948593</v>
      </c>
      <c r="E118" s="13">
        <f t="shared" si="13"/>
        <v>1.0652303204742166E-2</v>
      </c>
      <c r="F118" s="13">
        <f t="shared" si="14"/>
        <v>4.8451860030520721E-4</v>
      </c>
      <c r="G118" s="13">
        <f t="shared" si="15"/>
        <v>3.0244131425863818E-5</v>
      </c>
      <c r="H118" s="13">
        <f t="shared" si="16"/>
        <v>5.1346054264823327E-6</v>
      </c>
      <c r="I118" s="13">
        <f t="shared" si="17"/>
        <v>0</v>
      </c>
      <c r="J118" s="13">
        <f t="shared" si="18"/>
        <v>0.68529944982780799</v>
      </c>
      <c r="K118" s="13">
        <f t="shared" si="19"/>
        <v>3.4142901127877832E-9</v>
      </c>
      <c r="L118" s="13">
        <f t="shared" si="20"/>
        <v>0.99999999159546693</v>
      </c>
      <c r="M118" s="13">
        <f t="shared" si="21"/>
        <v>4.6990759968594E-4</v>
      </c>
      <c r="N118" s="13">
        <f t="shared" si="22"/>
        <v>8.859783991076426E-7</v>
      </c>
      <c r="O118" s="13">
        <f t="shared" si="0"/>
        <v>9.5699045289826835E-8</v>
      </c>
      <c r="P118" s="13">
        <f t="shared" si="23"/>
        <v>0</v>
      </c>
      <c r="Q118" s="13">
        <f t="shared" si="24"/>
        <v>0</v>
      </c>
      <c r="R118" s="27">
        <f t="shared" si="25"/>
        <v>64.822989509615795</v>
      </c>
      <c r="S118" s="12">
        <f t="shared" si="1"/>
        <v>1.065191044386927E-2</v>
      </c>
      <c r="T118" s="12">
        <f t="shared" si="2"/>
        <v>2.6389317031929511E-3</v>
      </c>
      <c r="U118" s="12">
        <f t="shared" si="3"/>
        <v>1.0873299216366756E-3</v>
      </c>
      <c r="V118" s="12">
        <f t="shared" si="4"/>
        <v>0</v>
      </c>
      <c r="W118" s="12">
        <f t="shared" si="5"/>
        <v>0.39203315283844359</v>
      </c>
      <c r="X118" s="12">
        <f t="shared" si="6"/>
        <v>2.8038714425941175E-5</v>
      </c>
      <c r="Y118" s="12">
        <f t="shared" si="7"/>
        <v>4.6990756904803822E-4</v>
      </c>
      <c r="Z118" s="12">
        <f t="shared" si="8"/>
        <v>1.4844365760838954E-4</v>
      </c>
      <c r="AA118" s="12">
        <f t="shared" si="26"/>
        <v>0</v>
      </c>
      <c r="AB118" s="12">
        <f t="shared" si="27"/>
        <v>0</v>
      </c>
      <c r="AC118" s="12">
        <f t="shared" si="9"/>
        <v>-1.065191044386927E-2</v>
      </c>
      <c r="AD118" s="12">
        <f t="shared" si="28"/>
        <v>-22.895690950114428</v>
      </c>
    </row>
    <row r="119" spans="1:30" x14ac:dyDescent="0.25">
      <c r="A119" s="26">
        <f t="shared" si="29"/>
        <v>40</v>
      </c>
      <c r="B119" s="12">
        <f t="shared" si="10"/>
        <v>251.32741228718345</v>
      </c>
      <c r="C119" s="13">
        <f t="shared" si="11"/>
        <v>65.508739084398783</v>
      </c>
      <c r="D119" s="13">
        <f t="shared" si="12"/>
        <v>0.99999875865451016</v>
      </c>
      <c r="E119" s="13">
        <f t="shared" si="13"/>
        <v>1.217406080130354E-2</v>
      </c>
      <c r="F119" s="13">
        <f t="shared" si="14"/>
        <v>6.3282981607225438E-4</v>
      </c>
      <c r="G119" s="13">
        <f t="shared" si="15"/>
        <v>3.9502496897978346E-5</v>
      </c>
      <c r="H119" s="13">
        <f t="shared" si="16"/>
        <v>6.706422202448463E-6</v>
      </c>
      <c r="I119" s="13">
        <f t="shared" si="17"/>
        <v>0</v>
      </c>
      <c r="J119" s="13">
        <f t="shared" si="18"/>
        <v>0.87515945393713146</v>
      </c>
      <c r="K119" s="13">
        <f t="shared" si="19"/>
        <v>4.4594822229026288E-9</v>
      </c>
      <c r="L119" s="13">
        <f t="shared" si="20"/>
        <v>0.99999998902265064</v>
      </c>
      <c r="M119" s="13">
        <f t="shared" si="21"/>
        <v>5.3703725678393144E-4</v>
      </c>
      <c r="N119" s="13">
        <f t="shared" si="22"/>
        <v>1.1571962405672065E-6</v>
      </c>
      <c r="O119" s="13">
        <f t="shared" si="0"/>
        <v>1.2499467110944689E-7</v>
      </c>
      <c r="P119" s="13">
        <f t="shared" si="23"/>
        <v>0</v>
      </c>
      <c r="Q119" s="13">
        <f t="shared" si="24"/>
        <v>0</v>
      </c>
      <c r="R119" s="27">
        <f t="shared" si="25"/>
        <v>64.632991722914298</v>
      </c>
      <c r="S119" s="12">
        <f t="shared" si="1"/>
        <v>1.2173474534695458E-2</v>
      </c>
      <c r="T119" s="12">
        <f t="shared" si="2"/>
        <v>3.0159198033730371E-3</v>
      </c>
      <c r="U119" s="12">
        <f t="shared" si="3"/>
        <v>1.2426626176681832E-3</v>
      </c>
      <c r="V119" s="12">
        <f t="shared" si="4"/>
        <v>0</v>
      </c>
      <c r="W119" s="12">
        <f t="shared" si="5"/>
        <v>0.44140293537197334</v>
      </c>
      <c r="X119" s="12">
        <f t="shared" si="6"/>
        <v>3.2044245055647853E-5</v>
      </c>
      <c r="Y119" s="12">
        <f t="shared" si="7"/>
        <v>5.3703721105038884E-4</v>
      </c>
      <c r="Z119" s="12">
        <f t="shared" si="8"/>
        <v>1.6964989402812645E-4</v>
      </c>
      <c r="AA119" s="12">
        <f t="shared" si="26"/>
        <v>0</v>
      </c>
      <c r="AB119" s="12">
        <f t="shared" si="27"/>
        <v>0</v>
      </c>
      <c r="AC119" s="12">
        <f t="shared" si="9"/>
        <v>-1.2173474534695458E-2</v>
      </c>
      <c r="AD119" s="12">
        <f t="shared" si="28"/>
        <v>-25.786341363470367</v>
      </c>
    </row>
    <row r="120" spans="1:30" x14ac:dyDescent="0.25">
      <c r="A120" s="26">
        <f t="shared" si="29"/>
        <v>45</v>
      </c>
      <c r="B120" s="12">
        <f t="shared" si="10"/>
        <v>282.74333882308139</v>
      </c>
      <c r="C120" s="13">
        <f t="shared" si="11"/>
        <v>65.508739084398783</v>
      </c>
      <c r="D120" s="13">
        <f t="shared" si="12"/>
        <v>0.99999842892211432</v>
      </c>
      <c r="E120" s="13">
        <f t="shared" si="13"/>
        <v>1.369581839621848E-2</v>
      </c>
      <c r="F120" s="13">
        <f t="shared" si="14"/>
        <v>8.0090973867666458E-4</v>
      </c>
      <c r="G120" s="13">
        <f t="shared" si="15"/>
        <v>4.9995287239766543E-5</v>
      </c>
      <c r="H120" s="13">
        <f t="shared" si="16"/>
        <v>8.4878138571447444E-6</v>
      </c>
      <c r="I120" s="13">
        <f t="shared" si="17"/>
        <v>0</v>
      </c>
      <c r="J120" s="13">
        <f t="shared" si="18"/>
        <v>1.0807543983544523</v>
      </c>
      <c r="K120" s="13">
        <f t="shared" si="19"/>
        <v>5.6440312236488174E-9</v>
      </c>
      <c r="L120" s="13">
        <f t="shared" si="20"/>
        <v>0.99999998610679219</v>
      </c>
      <c r="M120" s="13">
        <f t="shared" si="21"/>
        <v>6.0416691388192288E-4</v>
      </c>
      <c r="N120" s="13">
        <f t="shared" si="22"/>
        <v>1.4645764381782337E-6</v>
      </c>
      <c r="O120" s="13">
        <f t="shared" si="0"/>
        <v>1.581963803808123E-7</v>
      </c>
      <c r="P120" s="13">
        <f t="shared" si="23"/>
        <v>0</v>
      </c>
      <c r="Q120" s="13">
        <f t="shared" si="24"/>
        <v>0</v>
      </c>
      <c r="R120" s="27">
        <f t="shared" si="25"/>
        <v>64.4272406309899</v>
      </c>
      <c r="S120" s="12">
        <f t="shared" si="1"/>
        <v>1.3694983672716677E-2</v>
      </c>
      <c r="T120" s="12">
        <f t="shared" si="2"/>
        <v>3.3929070463073014E-3</v>
      </c>
      <c r="U120" s="12">
        <f t="shared" si="3"/>
        <v>1.3979952537331436E-3</v>
      </c>
      <c r="V120" s="12">
        <f t="shared" si="4"/>
        <v>0</v>
      </c>
      <c r="W120" s="12">
        <f t="shared" si="5"/>
        <v>0.48857371977197878</v>
      </c>
      <c r="X120" s="12">
        <f t="shared" si="6"/>
        <v>3.604977568432628E-5</v>
      </c>
      <c r="Y120" s="12">
        <f t="shared" si="7"/>
        <v>6.0416684876522147E-4</v>
      </c>
      <c r="Z120" s="12">
        <f t="shared" si="8"/>
        <v>1.9085613029527873E-4</v>
      </c>
      <c r="AA120" s="12">
        <f t="shared" si="26"/>
        <v>0</v>
      </c>
      <c r="AB120" s="12">
        <f t="shared" si="27"/>
        <v>0</v>
      </c>
      <c r="AC120" s="12">
        <f t="shared" si="9"/>
        <v>-1.3694983672716677E-2</v>
      </c>
      <c r="AD120" s="12">
        <f t="shared" si="28"/>
        <v>-28.550995368352357</v>
      </c>
    </row>
    <row r="121" spans="1:30" x14ac:dyDescent="0.25">
      <c r="A121" s="26">
        <f t="shared" si="29"/>
        <v>50</v>
      </c>
      <c r="B121" s="12">
        <f t="shared" si="10"/>
        <v>314.15926535897933</v>
      </c>
      <c r="C121" s="13">
        <f t="shared" si="11"/>
        <v>65.508739084398783</v>
      </c>
      <c r="D121" s="13">
        <f t="shared" si="12"/>
        <v>0.99999806039767203</v>
      </c>
      <c r="E121" s="13">
        <f t="shared" si="13"/>
        <v>1.5217575989281182E-2</v>
      </c>
      <c r="F121" s="13">
        <f t="shared" si="14"/>
        <v>9.8875607299314747E-4</v>
      </c>
      <c r="G121" s="13">
        <f t="shared" si="15"/>
        <v>6.1722493505046307E-5</v>
      </c>
      <c r="H121" s="13">
        <f t="shared" si="16"/>
        <v>1.0478780138192056E-5</v>
      </c>
      <c r="I121" s="13">
        <f t="shared" si="17"/>
        <v>0</v>
      </c>
      <c r="J121" s="13">
        <f t="shared" si="18"/>
        <v>1.2995763466070329</v>
      </c>
      <c r="K121" s="13">
        <f t="shared" si="19"/>
        <v>6.9679390436242659E-9</v>
      </c>
      <c r="L121" s="13">
        <f t="shared" si="20"/>
        <v>0.9999999828478916</v>
      </c>
      <c r="M121" s="13">
        <f t="shared" si="21"/>
        <v>6.7129657097991433E-4</v>
      </c>
      <c r="N121" s="13">
        <f t="shared" si="22"/>
        <v>1.8081189881015342E-6</v>
      </c>
      <c r="O121" s="13">
        <f t="shared" si="0"/>
        <v>1.9530417305913016E-7</v>
      </c>
      <c r="P121" s="13">
        <f t="shared" si="23"/>
        <v>0</v>
      </c>
      <c r="Q121" s="13">
        <f t="shared" si="24"/>
        <v>0</v>
      </c>
      <c r="R121" s="27">
        <f t="shared" si="25"/>
        <v>64.208244172601283</v>
      </c>
      <c r="S121" s="12">
        <f t="shared" si="1"/>
        <v>1.5216430993617082E-2</v>
      </c>
      <c r="T121" s="12">
        <f t="shared" si="2"/>
        <v>3.7698933248446779E-3</v>
      </c>
      <c r="U121" s="12">
        <f t="shared" si="3"/>
        <v>1.553327822335794E-3</v>
      </c>
      <c r="V121" s="12">
        <f t="shared" si="4"/>
        <v>0</v>
      </c>
      <c r="W121" s="12">
        <f t="shared" si="5"/>
        <v>0.53349346108487639</v>
      </c>
      <c r="X121" s="12">
        <f t="shared" si="6"/>
        <v>4.0055306311847918E-5</v>
      </c>
      <c r="Y121" s="12">
        <f t="shared" si="7"/>
        <v>6.7129648165659703E-4</v>
      </c>
      <c r="Z121" s="12">
        <f t="shared" si="8"/>
        <v>2.1206236639077333E-4</v>
      </c>
      <c r="AA121" s="12">
        <f t="shared" si="26"/>
        <v>0</v>
      </c>
      <c r="AB121" s="12">
        <f t="shared" si="27"/>
        <v>0</v>
      </c>
      <c r="AC121" s="12">
        <f t="shared" si="9"/>
        <v>-1.5216430993617082E-2</v>
      </c>
      <c r="AD121" s="12">
        <f t="shared" si="28"/>
        <v>-31.186670621815757</v>
      </c>
    </row>
    <row r="122" spans="1:30" x14ac:dyDescent="0.25">
      <c r="A122" s="26">
        <f t="shared" si="29"/>
        <v>55</v>
      </c>
      <c r="B122" s="12">
        <f t="shared" si="10"/>
        <v>345.57519189487726</v>
      </c>
      <c r="C122" s="13">
        <f t="shared" si="11"/>
        <v>65.508739084398783</v>
      </c>
      <c r="D122" s="13">
        <f t="shared" si="12"/>
        <v>0.99999765308118316</v>
      </c>
      <c r="E122" s="13">
        <f t="shared" si="13"/>
        <v>1.6739333580285846E-2</v>
      </c>
      <c r="F122" s="13">
        <f t="shared" si="14"/>
        <v>1.1963662542280318E-3</v>
      </c>
      <c r="G122" s="13">
        <f t="shared" si="15"/>
        <v>7.4684105692927844E-5</v>
      </c>
      <c r="H122" s="13">
        <f t="shared" si="16"/>
        <v>1.2679320754897661E-5</v>
      </c>
      <c r="I122" s="13">
        <f t="shared" si="17"/>
        <v>0</v>
      </c>
      <c r="J122" s="13">
        <f t="shared" si="18"/>
        <v>1.5292582140634614</v>
      </c>
      <c r="K122" s="13">
        <f t="shared" si="19"/>
        <v>8.4312076114201808E-9</v>
      </c>
      <c r="L122" s="13">
        <f t="shared" si="20"/>
        <v>0.99999997924594886</v>
      </c>
      <c r="M122" s="13">
        <f t="shared" si="21"/>
        <v>7.3842622807790577E-4</v>
      </c>
      <c r="N122" s="13">
        <f t="shared" si="22"/>
        <v>2.1878238821889409E-6</v>
      </c>
      <c r="O122" s="13">
        <f t="shared" si="0"/>
        <v>2.3631804716568303E-7</v>
      </c>
      <c r="P122" s="13">
        <f t="shared" si="23"/>
        <v>0</v>
      </c>
      <c r="Q122" s="13">
        <f t="shared" si="24"/>
        <v>0</v>
      </c>
      <c r="R122" s="27">
        <f t="shared" si="25"/>
        <v>63.978369434934415</v>
      </c>
      <c r="S122" s="12">
        <f t="shared" si="1"/>
        <v>1.6737809634768865E-2</v>
      </c>
      <c r="T122" s="12">
        <f t="shared" si="2"/>
        <v>4.1468785318357418E-3</v>
      </c>
      <c r="U122" s="12">
        <f t="shared" si="3"/>
        <v>1.7086603159803908E-3</v>
      </c>
      <c r="V122" s="12">
        <f t="shared" si="4"/>
        <v>0</v>
      </c>
      <c r="W122" s="12">
        <f t="shared" si="5"/>
        <v>0.57615118851187475</v>
      </c>
      <c r="X122" s="12">
        <f t="shared" si="6"/>
        <v>4.4060836938084234E-5</v>
      </c>
      <c r="Y122" s="12">
        <f t="shared" si="7"/>
        <v>7.3842610918857673E-4</v>
      </c>
      <c r="Z122" s="12">
        <f t="shared" si="8"/>
        <v>2.3326860229553714E-4</v>
      </c>
      <c r="AA122" s="12">
        <f t="shared" si="26"/>
        <v>0</v>
      </c>
      <c r="AB122" s="12">
        <f t="shared" si="27"/>
        <v>0</v>
      </c>
      <c r="AC122" s="12">
        <f t="shared" si="9"/>
        <v>-1.6737809634768865E-2</v>
      </c>
      <c r="AD122" s="12">
        <f t="shared" si="28"/>
        <v>-33.692738156729192</v>
      </c>
    </row>
    <row r="123" spans="1:30" x14ac:dyDescent="0.25">
      <c r="A123" s="26">
        <f t="shared" si="29"/>
        <v>60</v>
      </c>
      <c r="B123" s="12">
        <f t="shared" si="10"/>
        <v>376.99111843077515</v>
      </c>
      <c r="C123" s="13">
        <f t="shared" si="11"/>
        <v>65.508739084398783</v>
      </c>
      <c r="D123" s="13">
        <f t="shared" si="12"/>
        <v>0.99999720697264771</v>
      </c>
      <c r="E123" s="13">
        <f t="shared" si="13"/>
        <v>1.8261091169026664E-2</v>
      </c>
      <c r="F123" s="13">
        <f t="shared" si="14"/>
        <v>1.4237374480404114E-3</v>
      </c>
      <c r="G123" s="13">
        <f t="shared" si="15"/>
        <v>8.8880112749760011E-5</v>
      </c>
      <c r="H123" s="13">
        <f t="shared" si="16"/>
        <v>1.5089435389827216E-5</v>
      </c>
      <c r="I123" s="13">
        <f t="shared" si="17"/>
        <v>0</v>
      </c>
      <c r="J123" s="13">
        <f t="shared" si="18"/>
        <v>1.7676160164754815</v>
      </c>
      <c r="K123" s="13">
        <f t="shared" si="19"/>
        <v>1.0033833069656271E-8</v>
      </c>
      <c r="L123" s="13">
        <f t="shared" si="20"/>
        <v>0.99999997530096396</v>
      </c>
      <c r="M123" s="13">
        <f t="shared" si="21"/>
        <v>8.0555588517589711E-4</v>
      </c>
      <c r="N123" s="13">
        <f t="shared" si="22"/>
        <v>2.6036911060546555E-6</v>
      </c>
      <c r="O123" s="13">
        <f t="shared" si="0"/>
        <v>2.8123800650244826E-7</v>
      </c>
      <c r="P123" s="13">
        <f t="shared" si="23"/>
        <v>0</v>
      </c>
      <c r="Q123" s="13">
        <f t="shared" si="24"/>
        <v>0</v>
      </c>
      <c r="R123" s="27">
        <f t="shared" si="25"/>
        <v>63.739800405060471</v>
      </c>
      <c r="S123" s="12">
        <f t="shared" si="1"/>
        <v>1.8259112735419383E-2</v>
      </c>
      <c r="T123" s="12">
        <f t="shared" si="2"/>
        <v>4.5238625601328993E-3</v>
      </c>
      <c r="U123" s="12">
        <f t="shared" si="3"/>
        <v>1.8639927271712122E-3</v>
      </c>
      <c r="V123" s="12">
        <f t="shared" si="4"/>
        <v>0</v>
      </c>
      <c r="W123" s="12">
        <f t="shared" si="5"/>
        <v>0.6165698815183579</v>
      </c>
      <c r="X123" s="12">
        <f t="shared" si="6"/>
        <v>4.806636756290671E-5</v>
      </c>
      <c r="Y123" s="12">
        <f t="shared" si="7"/>
        <v>8.0555573082522175E-4</v>
      </c>
      <c r="Z123" s="12">
        <f t="shared" si="8"/>
        <v>2.5447483799049701E-4</v>
      </c>
      <c r="AA123" s="12">
        <f t="shared" si="26"/>
        <v>0</v>
      </c>
      <c r="AB123" s="12">
        <f t="shared" si="27"/>
        <v>0</v>
      </c>
      <c r="AC123" s="12">
        <f t="shared" si="9"/>
        <v>-1.8259112735419383E-2</v>
      </c>
      <c r="AD123" s="12">
        <f t="shared" si="28"/>
        <v>-36.070514212919242</v>
      </c>
    </row>
    <row r="124" spans="1:30" x14ac:dyDescent="0.25">
      <c r="A124" s="26">
        <f t="shared" si="29"/>
        <v>65</v>
      </c>
      <c r="B124" s="12">
        <f t="shared" si="10"/>
        <v>408.40704496667308</v>
      </c>
      <c r="C124" s="13">
        <f t="shared" si="11"/>
        <v>65.508739084398783</v>
      </c>
      <c r="D124" s="13">
        <f t="shared" si="12"/>
        <v>0.9999967220720658</v>
      </c>
      <c r="E124" s="13">
        <f t="shared" si="13"/>
        <v>1.9782848755297833E-2</v>
      </c>
      <c r="F124" s="13">
        <f t="shared" si="14"/>
        <v>1.6708665506690126E-3</v>
      </c>
      <c r="G124" s="13">
        <f t="shared" si="15"/>
        <v>1.0431050257493598E-4</v>
      </c>
      <c r="H124" s="13">
        <f t="shared" si="16"/>
        <v>1.7709123693018901E-5</v>
      </c>
      <c r="I124" s="13">
        <f t="shared" si="17"/>
        <v>0</v>
      </c>
      <c r="J124" s="13">
        <f t="shared" si="18"/>
        <v>2.0126733378711679</v>
      </c>
      <c r="K124" s="13">
        <f t="shared" si="19"/>
        <v>1.1775819275565258E-8</v>
      </c>
      <c r="L124" s="13">
        <f t="shared" si="20"/>
        <v>0.99999997101293681</v>
      </c>
      <c r="M124" s="13">
        <f t="shared" si="21"/>
        <v>8.7268554227388855E-4</v>
      </c>
      <c r="N124" s="13">
        <f t="shared" si="22"/>
        <v>3.0557206545044852E-6</v>
      </c>
      <c r="O124" s="13">
        <f t="shared" si="0"/>
        <v>3.3006404522285917E-7</v>
      </c>
      <c r="P124" s="13">
        <f t="shared" si="23"/>
        <v>0</v>
      </c>
      <c r="Q124" s="13">
        <f t="shared" si="24"/>
        <v>0</v>
      </c>
      <c r="R124" s="27">
        <f t="shared" si="25"/>
        <v>63.4945135020427</v>
      </c>
      <c r="S124" s="12">
        <f t="shared" si="1"/>
        <v>1.9780333436878177E-2</v>
      </c>
      <c r="T124" s="12">
        <f t="shared" si="2"/>
        <v>4.9008453025905646E-3</v>
      </c>
      <c r="U124" s="12">
        <f t="shared" si="3"/>
        <v>2.0193250484125606E-3</v>
      </c>
      <c r="V124" s="12">
        <f t="shared" si="4"/>
        <v>0</v>
      </c>
      <c r="W124" s="12">
        <f t="shared" si="5"/>
        <v>0.65479941920743756</v>
      </c>
      <c r="X124" s="12">
        <f t="shared" si="6"/>
        <v>5.20718981861868E-5</v>
      </c>
      <c r="Y124" s="12">
        <f t="shared" si="7"/>
        <v>8.7268534603059415E-4</v>
      </c>
      <c r="Z124" s="12">
        <f t="shared" si="8"/>
        <v>2.7568107345658002E-4</v>
      </c>
      <c r="AA124" s="12">
        <f t="shared" si="26"/>
        <v>0</v>
      </c>
      <c r="AB124" s="12">
        <f t="shared" si="27"/>
        <v>0</v>
      </c>
      <c r="AC124" s="12">
        <f t="shared" si="9"/>
        <v>-1.9780333436878177E-2</v>
      </c>
      <c r="AD124" s="12">
        <f t="shared" si="28"/>
        <v>-38.322856266042749</v>
      </c>
    </row>
    <row r="125" spans="1:30" x14ac:dyDescent="0.25">
      <c r="A125" s="26">
        <f t="shared" si="29"/>
        <v>70</v>
      </c>
      <c r="B125" s="12">
        <f t="shared" si="10"/>
        <v>439.82297150257102</v>
      </c>
      <c r="C125" s="13">
        <f t="shared" si="11"/>
        <v>65.508739084398783</v>
      </c>
      <c r="D125" s="13">
        <f t="shared" si="12"/>
        <v>0.99999619837943721</v>
      </c>
      <c r="E125" s="13">
        <f t="shared" si="13"/>
        <v>2.1304606338893552E-2</v>
      </c>
      <c r="F125" s="13">
        <f t="shared" si="14"/>
        <v>1.9377501890763451E-3</v>
      </c>
      <c r="G125" s="13">
        <f t="shared" si="15"/>
        <v>1.2097526200548556E-4</v>
      </c>
      <c r="H125" s="13">
        <f t="shared" si="16"/>
        <v>2.0538385283912192E-5</v>
      </c>
      <c r="I125" s="13">
        <f t="shared" si="17"/>
        <v>0</v>
      </c>
      <c r="J125" s="13">
        <f t="shared" si="18"/>
        <v>2.2626712208180222</v>
      </c>
      <c r="K125" s="13">
        <f t="shared" si="19"/>
        <v>1.3657162371753433E-8</v>
      </c>
      <c r="L125" s="13">
        <f t="shared" si="20"/>
        <v>0.9999999663818675</v>
      </c>
      <c r="M125" s="13">
        <f t="shared" si="21"/>
        <v>9.3981519937187999E-4</v>
      </c>
      <c r="N125" s="13">
        <f t="shared" si="22"/>
        <v>3.5439125122492985E-6</v>
      </c>
      <c r="O125" s="13">
        <f t="shared" si="0"/>
        <v>3.8279616904700841E-7</v>
      </c>
      <c r="P125" s="13">
        <f t="shared" si="23"/>
        <v>0</v>
      </c>
      <c r="Q125" s="13">
        <f t="shared" si="24"/>
        <v>0</v>
      </c>
      <c r="R125" s="27">
        <f t="shared" si="25"/>
        <v>63.24426768667314</v>
      </c>
      <c r="S125" s="12">
        <f t="shared" si="1"/>
        <v>2.1301464882703878E-2</v>
      </c>
      <c r="T125" s="12">
        <f t="shared" si="2"/>
        <v>5.2778266520653455E-3</v>
      </c>
      <c r="U125" s="12">
        <f t="shared" si="3"/>
        <v>2.1746572722087633E-3</v>
      </c>
      <c r="V125" s="12">
        <f t="shared" si="4"/>
        <v>0</v>
      </c>
      <c r="W125" s="12">
        <f t="shared" si="5"/>
        <v>0.69091003405215323</v>
      </c>
      <c r="X125" s="12">
        <f t="shared" si="6"/>
        <v>5.6077428807795985E-5</v>
      </c>
      <c r="Y125" s="12">
        <f t="shared" si="7"/>
        <v>9.3981495426875611E-4</v>
      </c>
      <c r="Z125" s="12">
        <f t="shared" si="8"/>
        <v>2.9688730867471314E-4</v>
      </c>
      <c r="AA125" s="12">
        <f t="shared" si="26"/>
        <v>0</v>
      </c>
      <c r="AB125" s="12">
        <f t="shared" si="27"/>
        <v>0</v>
      </c>
      <c r="AC125" s="12">
        <f t="shared" si="9"/>
        <v>-2.1301464882703878E-2</v>
      </c>
      <c r="AD125" s="12">
        <f t="shared" si="28"/>
        <v>-40.453787954081008</v>
      </c>
    </row>
    <row r="126" spans="1:30" x14ac:dyDescent="0.25">
      <c r="A126" s="26">
        <f t="shared" si="29"/>
        <v>75</v>
      </c>
      <c r="B126" s="12">
        <f t="shared" si="10"/>
        <v>471.23889803846896</v>
      </c>
      <c r="C126" s="13">
        <f t="shared" si="11"/>
        <v>65.508739084398783</v>
      </c>
      <c r="D126" s="13">
        <f t="shared" si="12"/>
        <v>0.99999563589476215</v>
      </c>
      <c r="E126" s="13">
        <f t="shared" si="13"/>
        <v>2.2826363919608014E-2</v>
      </c>
      <c r="F126" s="13">
        <f t="shared" si="14"/>
        <v>2.2243847211024102E-3</v>
      </c>
      <c r="G126" s="13">
        <f t="shared" si="15"/>
        <v>1.3887437683345627E-4</v>
      </c>
      <c r="H126" s="13">
        <f t="shared" si="16"/>
        <v>2.3577219755205259E-5</v>
      </c>
      <c r="I126" s="13">
        <f t="shared" si="17"/>
        <v>0</v>
      </c>
      <c r="J126" s="13">
        <f t="shared" si="18"/>
        <v>2.5160669229619566</v>
      </c>
      <c r="K126" s="13">
        <f t="shared" si="19"/>
        <v>1.5677866215440104E-8</v>
      </c>
      <c r="L126" s="13">
        <f t="shared" si="20"/>
        <v>0.99999996140775615</v>
      </c>
      <c r="M126" s="13">
        <f t="shared" si="21"/>
        <v>1.0069448564698714E-3</v>
      </c>
      <c r="N126" s="13">
        <f t="shared" si="22"/>
        <v>4.0682666712629135E-6</v>
      </c>
      <c r="O126" s="13">
        <f t="shared" si="0"/>
        <v>4.3943437597509951E-7</v>
      </c>
      <c r="P126" s="13">
        <f t="shared" si="23"/>
        <v>0</v>
      </c>
      <c r="Q126" s="13">
        <f t="shared" si="24"/>
        <v>0</v>
      </c>
      <c r="R126" s="27">
        <f t="shared" si="25"/>
        <v>62.990605704933394</v>
      </c>
      <c r="S126" s="12">
        <f t="shared" si="1"/>
        <v>2.2822500218890922E-2</v>
      </c>
      <c r="T126" s="12">
        <f t="shared" si="2"/>
        <v>5.6548065014162246E-3</v>
      </c>
      <c r="U126" s="12">
        <f t="shared" si="3"/>
        <v>2.3299893910641773E-3</v>
      </c>
      <c r="V126" s="12">
        <f t="shared" si="4"/>
        <v>0</v>
      </c>
      <c r="W126" s="12">
        <f t="shared" si="5"/>
        <v>0.72498652518893225</v>
      </c>
      <c r="X126" s="12">
        <f t="shared" si="6"/>
        <v>6.0082959427605727E-5</v>
      </c>
      <c r="Y126" s="12">
        <f t="shared" si="7"/>
        <v>1.0069445550037696E-3</v>
      </c>
      <c r="Z126" s="12">
        <f t="shared" si="8"/>
        <v>3.180935436258231E-4</v>
      </c>
      <c r="AA126" s="12">
        <f t="shared" si="26"/>
        <v>0</v>
      </c>
      <c r="AB126" s="12">
        <f t="shared" si="27"/>
        <v>0</v>
      </c>
      <c r="AC126" s="12">
        <f t="shared" si="9"/>
        <v>-2.2822500218890922E-2</v>
      </c>
      <c r="AD126" s="12">
        <f t="shared" si="28"/>
        <v>-42.468167523488461</v>
      </c>
    </row>
    <row r="127" spans="1:30" x14ac:dyDescent="0.25">
      <c r="A127" s="26">
        <f t="shared" si="29"/>
        <v>80</v>
      </c>
      <c r="B127" s="12">
        <f t="shared" si="10"/>
        <v>502.6548245743669</v>
      </c>
      <c r="C127" s="13">
        <f t="shared" si="11"/>
        <v>65.508739084398783</v>
      </c>
      <c r="D127" s="13">
        <f t="shared" si="12"/>
        <v>0.9999950346180404</v>
      </c>
      <c r="E127" s="13">
        <f t="shared" si="13"/>
        <v>2.4348121497235416E-2</v>
      </c>
      <c r="F127" s="13">
        <f t="shared" si="14"/>
        <v>2.5307662356241073E-3</v>
      </c>
      <c r="G127" s="13">
        <f t="shared" si="15"/>
        <v>1.580078317982241E-4</v>
      </c>
      <c r="H127" s="13">
        <f t="shared" si="16"/>
        <v>2.68256266689978E-5</v>
      </c>
      <c r="I127" s="13">
        <f t="shared" si="17"/>
        <v>0</v>
      </c>
      <c r="J127" s="13">
        <f t="shared" si="18"/>
        <v>2.7715247749318941</v>
      </c>
      <c r="K127" s="13">
        <f t="shared" si="19"/>
        <v>1.7837926949218145E-8</v>
      </c>
      <c r="L127" s="13">
        <f t="shared" si="20"/>
        <v>0.99999995609060255</v>
      </c>
      <c r="M127" s="13">
        <f t="shared" si="21"/>
        <v>1.0740745135678629E-3</v>
      </c>
      <c r="N127" s="13">
        <f t="shared" si="22"/>
        <v>4.6287831153528692E-6</v>
      </c>
      <c r="O127" s="13">
        <f t="shared" ref="O127:O158" si="30">20*LOG10(SQRT(1+($B$84*B127)^2))</f>
        <v>4.9997866400206642E-7</v>
      </c>
      <c r="P127" s="13">
        <f t="shared" si="23"/>
        <v>0</v>
      </c>
      <c r="Q127" s="13">
        <f t="shared" si="24"/>
        <v>0</v>
      </c>
      <c r="R127" s="27">
        <f t="shared" si="25"/>
        <v>62.734863230090028</v>
      </c>
      <c r="S127" s="12">
        <f t="shared" ref="S127:S158" si="31">ATAN2(D127,E127)</f>
        <v>2.4343432594056118E-2</v>
      </c>
      <c r="T127" s="12">
        <f t="shared" ref="T127:T158" si="32">ATAN($B$76*B127)</f>
        <v>6.0317847435047431E-3</v>
      </c>
      <c r="U127" s="12">
        <f t="shared" ref="U127:U158" si="33">ATAN($B$77*B127)</f>
        <v>2.48532139748319E-3</v>
      </c>
      <c r="V127" s="12">
        <f t="shared" ref="V127:V158" si="34">ATAN($B$78*B127)</f>
        <v>0</v>
      </c>
      <c r="W127" s="12">
        <f t="shared" ref="W127:W158" si="35">ATAN($B$79*B127)</f>
        <v>0.75712334475348209</v>
      </c>
      <c r="X127" s="12">
        <f t="shared" ref="X127:X158" si="36">ATAN($B$80*B127)</f>
        <v>6.4088490045487479E-5</v>
      </c>
      <c r="Y127" s="12">
        <f t="shared" ref="Y127:Y158" si="37">ATAN2(L127,M127)</f>
        <v>1.0740741476996977E-3</v>
      </c>
      <c r="Z127" s="12">
        <f t="shared" ref="Z127:Z159" si="38">ATAN($B$84*B127)</f>
        <v>3.3929977829083688E-4</v>
      </c>
      <c r="AA127" s="12">
        <f t="shared" si="26"/>
        <v>0</v>
      </c>
      <c r="AB127" s="12">
        <f t="shared" si="27"/>
        <v>0</v>
      </c>
      <c r="AC127" s="12">
        <f t="shared" ref="AC127:AC158" si="39">IF(-S127&gt;0,-S127-2*PI(),-S127)</f>
        <v>-2.4343432594056118E-2</v>
      </c>
      <c r="AD127" s="12">
        <f t="shared" si="28"/>
        <v>-44.371406296988042</v>
      </c>
    </row>
    <row r="128" spans="1:30" x14ac:dyDescent="0.25">
      <c r="A128" s="26">
        <f t="shared" si="29"/>
        <v>85</v>
      </c>
      <c r="B128" s="12">
        <f t="shared" si="10"/>
        <v>534.07075111026484</v>
      </c>
      <c r="C128" s="13">
        <f t="shared" si="11"/>
        <v>65.508739084398783</v>
      </c>
      <c r="D128" s="13">
        <f t="shared" si="12"/>
        <v>0.99999439454927219</v>
      </c>
      <c r="E128" s="13">
        <f t="shared" si="13"/>
        <v>2.5869879071569953E-2</v>
      </c>
      <c r="F128" s="13">
        <f t="shared" si="14"/>
        <v>2.8568905527395993E-3</v>
      </c>
      <c r="G128" s="13">
        <f t="shared" si="15"/>
        <v>1.7837561058459201E-4</v>
      </c>
      <c r="H128" s="13">
        <f t="shared" si="16"/>
        <v>3.0283605549076572E-5</v>
      </c>
      <c r="I128" s="13">
        <f t="shared" si="17"/>
        <v>0</v>
      </c>
      <c r="J128" s="13">
        <f t="shared" si="18"/>
        <v>3.0279019164409804</v>
      </c>
      <c r="K128" s="13">
        <f t="shared" si="19"/>
        <v>2.0137346501638522E-8</v>
      </c>
      <c r="L128" s="13">
        <f t="shared" si="20"/>
        <v>0.99999995043040679</v>
      </c>
      <c r="M128" s="13">
        <f t="shared" si="21"/>
        <v>1.1412041706658543E-3</v>
      </c>
      <c r="N128" s="13">
        <f t="shared" si="22"/>
        <v>5.2254618298036908E-6</v>
      </c>
      <c r="O128" s="13">
        <f t="shared" si="30"/>
        <v>5.6442903304622801E-7</v>
      </c>
      <c r="P128" s="13">
        <f t="shared" si="23"/>
        <v>0</v>
      </c>
      <c r="Q128" s="13">
        <f t="shared" si="24"/>
        <v>0</v>
      </c>
      <c r="R128" s="27">
        <f t="shared" si="25"/>
        <v>62.478183126593002</v>
      </c>
      <c r="S128" s="12">
        <f t="shared" si="31"/>
        <v>2.5864255159625021E-2</v>
      </c>
      <c r="T128" s="12">
        <f t="shared" si="32"/>
        <v>6.4087612711951833E-3</v>
      </c>
      <c r="U128" s="12">
        <f t="shared" si="33"/>
        <v>2.6406532839702191E-3</v>
      </c>
      <c r="V128" s="12">
        <f t="shared" si="34"/>
        <v>0</v>
      </c>
      <c r="W128" s="12">
        <f t="shared" si="35"/>
        <v>0.78742056826252949</v>
      </c>
      <c r="X128" s="12">
        <f t="shared" si="36"/>
        <v>6.8094020661312737E-5</v>
      </c>
      <c r="Y128" s="12">
        <f t="shared" si="37"/>
        <v>1.1412037318206034E-3</v>
      </c>
      <c r="Z128" s="12">
        <f t="shared" si="38"/>
        <v>3.6050601265068152E-4</v>
      </c>
      <c r="AA128" s="12">
        <f t="shared" si="26"/>
        <v>0</v>
      </c>
      <c r="AB128" s="12">
        <f t="shared" si="27"/>
        <v>0</v>
      </c>
      <c r="AC128" s="12">
        <f t="shared" si="39"/>
        <v>-2.5864255159625021E-2</v>
      </c>
      <c r="AD128" s="12">
        <f t="shared" si="28"/>
        <v>-46.169237793462464</v>
      </c>
    </row>
    <row r="129" spans="1:30" x14ac:dyDescent="0.25">
      <c r="A129" s="26">
        <f t="shared" si="29"/>
        <v>90</v>
      </c>
      <c r="B129" s="12">
        <f t="shared" si="10"/>
        <v>565.48667764616278</v>
      </c>
      <c r="C129" s="13">
        <f t="shared" si="11"/>
        <v>65.508739084398783</v>
      </c>
      <c r="D129" s="13">
        <f t="shared" si="12"/>
        <v>0.99999371568845741</v>
      </c>
      <c r="E129" s="13">
        <f t="shared" si="13"/>
        <v>2.7391636642405823E-2</v>
      </c>
      <c r="F129" s="13">
        <f t="shared" si="14"/>
        <v>3.2027532239564289E-3</v>
      </c>
      <c r="G129" s="13">
        <f t="shared" si="15"/>
        <v>1.9997769582667606E-4</v>
      </c>
      <c r="H129" s="13">
        <f t="shared" si="16"/>
        <v>3.3951155900202023E-5</v>
      </c>
      <c r="I129" s="13">
        <f t="shared" si="17"/>
        <v>0</v>
      </c>
      <c r="J129" s="13">
        <f t="shared" si="18"/>
        <v>3.284231133588309</v>
      </c>
      <c r="K129" s="13">
        <f t="shared" si="19"/>
        <v>2.257612680124548E-8</v>
      </c>
      <c r="L129" s="13">
        <f t="shared" si="20"/>
        <v>0.99999994442716877</v>
      </c>
      <c r="M129" s="13">
        <f t="shared" si="21"/>
        <v>1.2083338277638458E-3</v>
      </c>
      <c r="N129" s="13">
        <f t="shared" si="22"/>
        <v>5.8583028013768956E-6</v>
      </c>
      <c r="O129" s="13">
        <f t="shared" si="30"/>
        <v>6.3278548687794295E-7</v>
      </c>
      <c r="P129" s="13">
        <f t="shared" si="23"/>
        <v>0</v>
      </c>
      <c r="Q129" s="13">
        <f t="shared" si="24"/>
        <v>0</v>
      </c>
      <c r="R129" s="27">
        <f t="shared" si="25"/>
        <v>62.221532612773835</v>
      </c>
      <c r="S129" s="12">
        <f t="shared" si="31"/>
        <v>2.738496107001815E-2</v>
      </c>
      <c r="T129" s="12">
        <f t="shared" si="32"/>
        <v>6.7857359773547512E-3</v>
      </c>
      <c r="U129" s="12">
        <f t="shared" si="33"/>
        <v>2.7959850430297191E-3</v>
      </c>
      <c r="V129" s="12">
        <f t="shared" si="34"/>
        <v>0</v>
      </c>
      <c r="W129" s="12">
        <f t="shared" si="35"/>
        <v>0.81598069379559701</v>
      </c>
      <c r="X129" s="12">
        <f t="shared" si="36"/>
        <v>7.2099551274952962E-5</v>
      </c>
      <c r="Y129" s="12">
        <f t="shared" si="37"/>
        <v>1.2083333068305504E-3</v>
      </c>
      <c r="Z129" s="12">
        <f t="shared" si="38"/>
        <v>3.8171224668628385E-4</v>
      </c>
      <c r="AA129" s="12">
        <f t="shared" si="26"/>
        <v>0</v>
      </c>
      <c r="AB129" s="12">
        <f t="shared" si="27"/>
        <v>0</v>
      </c>
      <c r="AC129" s="12">
        <f t="shared" si="39"/>
        <v>-2.738496107001815E-2</v>
      </c>
      <c r="AD129" s="12">
        <f t="shared" si="28"/>
        <v>-47.867534334589649</v>
      </c>
    </row>
    <row r="130" spans="1:30" x14ac:dyDescent="0.25">
      <c r="A130" s="26">
        <f t="shared" si="29"/>
        <v>95</v>
      </c>
      <c r="B130" s="12">
        <f t="shared" si="10"/>
        <v>596.90260418206071</v>
      </c>
      <c r="C130" s="13">
        <f t="shared" si="11"/>
        <v>65.508739084398783</v>
      </c>
      <c r="D130" s="13">
        <f t="shared" si="12"/>
        <v>0.99999299803559605</v>
      </c>
      <c r="E130" s="13">
        <f t="shared" si="13"/>
        <v>2.8913394209537216E-2</v>
      </c>
      <c r="F130" s="13">
        <f t="shared" si="14"/>
        <v>3.5683495323891408E-3</v>
      </c>
      <c r="G130" s="13">
        <f t="shared" si="15"/>
        <v>2.2281406910407915E-4</v>
      </c>
      <c r="H130" s="13">
        <f t="shared" si="16"/>
        <v>3.7828277188821956E-5</v>
      </c>
      <c r="I130" s="13">
        <f t="shared" si="17"/>
        <v>0</v>
      </c>
      <c r="J130" s="13">
        <f t="shared" si="18"/>
        <v>3.539702472594084</v>
      </c>
      <c r="K130" s="13">
        <f t="shared" si="19"/>
        <v>2.5154263990611784E-8</v>
      </c>
      <c r="L130" s="13">
        <f t="shared" si="20"/>
        <v>0.99999993808088872</v>
      </c>
      <c r="M130" s="13">
        <f t="shared" si="21"/>
        <v>1.2754634848618372E-3</v>
      </c>
      <c r="N130" s="13">
        <f t="shared" si="22"/>
        <v>6.5273060163823362E-6</v>
      </c>
      <c r="O130" s="13">
        <f t="shared" si="30"/>
        <v>7.0504802154768118E-7</v>
      </c>
      <c r="P130" s="13">
        <f t="shared" si="23"/>
        <v>0</v>
      </c>
      <c r="Q130" s="13">
        <f t="shared" si="24"/>
        <v>0</v>
      </c>
      <c r="R130" s="27">
        <f t="shared" si="25"/>
        <v>61.9657216471103</v>
      </c>
      <c r="S130" s="12">
        <f t="shared" si="31"/>
        <v>2.8905543482836946E-2</v>
      </c>
      <c r="T130" s="12">
        <f t="shared" si="32"/>
        <v>7.162708754853757E-3</v>
      </c>
      <c r="U130" s="12">
        <f t="shared" si="33"/>
        <v>2.9513166671661811E-3</v>
      </c>
      <c r="V130" s="12">
        <f t="shared" si="34"/>
        <v>0</v>
      </c>
      <c r="W130" s="12">
        <f t="shared" si="35"/>
        <v>0.84290617780336097</v>
      </c>
      <c r="X130" s="12">
        <f t="shared" si="36"/>
        <v>7.6105081886279608E-5</v>
      </c>
      <c r="Y130" s="12">
        <f t="shared" si="37"/>
        <v>1.2754628721936027E-3</v>
      </c>
      <c r="Z130" s="12">
        <f t="shared" si="38"/>
        <v>4.0291848037857085E-4</v>
      </c>
      <c r="AA130" s="12">
        <f t="shared" si="26"/>
        <v>0</v>
      </c>
      <c r="AB130" s="12">
        <f t="shared" si="27"/>
        <v>0</v>
      </c>
      <c r="AC130" s="12">
        <f t="shared" si="39"/>
        <v>-2.8905543482836946E-2</v>
      </c>
      <c r="AD130" s="12">
        <f t="shared" si="28"/>
        <v>-49.472165857072433</v>
      </c>
    </row>
    <row r="131" spans="1:30" x14ac:dyDescent="0.25">
      <c r="A131" s="26">
        <f t="shared" si="29"/>
        <v>100</v>
      </c>
      <c r="B131" s="12">
        <f t="shared" si="10"/>
        <v>628.31853071795865</v>
      </c>
      <c r="C131" s="13">
        <f t="shared" si="11"/>
        <v>65.508739084398783</v>
      </c>
      <c r="D131" s="13">
        <f t="shared" si="12"/>
        <v>0.99999224159068822</v>
      </c>
      <c r="E131" s="13">
        <f t="shared" si="13"/>
        <v>3.0435151772758337E-2</v>
      </c>
      <c r="F131" s="13">
        <f t="shared" si="14"/>
        <v>3.9536744929837674E-3</v>
      </c>
      <c r="G131" s="13">
        <f t="shared" si="15"/>
        <v>2.468847109477094E-4</v>
      </c>
      <c r="H131" s="13">
        <f t="shared" si="16"/>
        <v>4.1914968852714946E-5</v>
      </c>
      <c r="I131" s="13">
        <f t="shared" si="17"/>
        <v>0</v>
      </c>
      <c r="J131" s="13">
        <f t="shared" si="18"/>
        <v>3.7936448201814805</v>
      </c>
      <c r="K131" s="13">
        <f t="shared" si="19"/>
        <v>2.7871761926923192E-8</v>
      </c>
      <c r="L131" s="13">
        <f t="shared" si="20"/>
        <v>0.9999999313915664</v>
      </c>
      <c r="M131" s="13">
        <f t="shared" si="21"/>
        <v>1.3425931419598287E-3</v>
      </c>
      <c r="N131" s="13">
        <f t="shared" si="22"/>
        <v>7.2324714548922423E-6</v>
      </c>
      <c r="O131" s="13">
        <f t="shared" si="30"/>
        <v>7.8121663695795236E-7</v>
      </c>
      <c r="P131" s="13">
        <f t="shared" si="23"/>
        <v>0</v>
      </c>
      <c r="Q131" s="13">
        <f t="shared" si="24"/>
        <v>0</v>
      </c>
      <c r="R131" s="27">
        <f t="shared" si="25"/>
        <v>61.711421347844251</v>
      </c>
      <c r="S131" s="12">
        <f t="shared" si="31"/>
        <v>3.0425995559049589E-2</v>
      </c>
      <c r="T131" s="12">
        <f t="shared" si="32"/>
        <v>7.5396794965658029E-3</v>
      </c>
      <c r="U131" s="12">
        <f t="shared" si="33"/>
        <v>3.1066481488841355E-3</v>
      </c>
      <c r="V131" s="12">
        <f t="shared" si="34"/>
        <v>0</v>
      </c>
      <c r="W131" s="12">
        <f t="shared" si="35"/>
        <v>0.86829759989712341</v>
      </c>
      <c r="X131" s="12">
        <f t="shared" si="36"/>
        <v>8.0110612495164156E-5</v>
      </c>
      <c r="Y131" s="12">
        <f t="shared" si="37"/>
        <v>1.342592427373825E-3</v>
      </c>
      <c r="Z131" s="12">
        <f t="shared" si="38"/>
        <v>4.2412471370846945E-4</v>
      </c>
      <c r="AA131" s="12">
        <f t="shared" si="26"/>
        <v>0</v>
      </c>
      <c r="AB131" s="12">
        <f t="shared" si="27"/>
        <v>0</v>
      </c>
      <c r="AC131" s="12">
        <f t="shared" si="39"/>
        <v>-3.0425995559049589E-2</v>
      </c>
      <c r="AD131" s="12">
        <f t="shared" si="28"/>
        <v>-50.988894762831357</v>
      </c>
    </row>
    <row r="132" spans="1:30" x14ac:dyDescent="0.25">
      <c r="A132" s="26">
        <f>A131+50</f>
        <v>150</v>
      </c>
      <c r="B132" s="12">
        <f t="shared" si="10"/>
        <v>942.47779607693792</v>
      </c>
      <c r="C132" s="13">
        <f t="shared" si="11"/>
        <v>65.508739084398783</v>
      </c>
      <c r="D132" s="13">
        <f t="shared" si="12"/>
        <v>0.99998254357904837</v>
      </c>
      <c r="E132" s="13">
        <f t="shared" si="13"/>
        <v>4.5652727144627432E-2</v>
      </c>
      <c r="F132" s="13">
        <f t="shared" si="14"/>
        <v>8.8907119995157158E-3</v>
      </c>
      <c r="G132" s="13">
        <f t="shared" si="15"/>
        <v>5.5547086460090559E-4</v>
      </c>
      <c r="H132" s="13">
        <f t="shared" si="16"/>
        <v>9.430811105184138E-5</v>
      </c>
      <c r="I132" s="13">
        <f t="shared" si="17"/>
        <v>0</v>
      </c>
      <c r="J132" s="13">
        <f t="shared" si="18"/>
        <v>6.1694596505161394</v>
      </c>
      <c r="K132" s="13">
        <f t="shared" si="19"/>
        <v>6.2711462763315976E-8</v>
      </c>
      <c r="L132" s="13">
        <f t="shared" si="20"/>
        <v>0.99999984563102451</v>
      </c>
      <c r="M132" s="13">
        <f t="shared" si="21"/>
        <v>2.0138897129397429E-3</v>
      </c>
      <c r="N132" s="13">
        <f t="shared" si="22"/>
        <v>1.6273043894353265E-5</v>
      </c>
      <c r="O132" s="13">
        <f t="shared" si="30"/>
        <v>1.7577372355040657E-6</v>
      </c>
      <c r="P132" s="13">
        <f t="shared" si="23"/>
        <v>0</v>
      </c>
      <c r="Q132" s="13">
        <f t="shared" si="24"/>
        <v>0</v>
      </c>
      <c r="R132" s="27">
        <f t="shared" si="25"/>
        <v>59.331020407366175</v>
      </c>
      <c r="S132" s="12">
        <f t="shared" si="31"/>
        <v>4.5621845998723147E-2</v>
      </c>
      <c r="T132" s="12">
        <f t="shared" si="32"/>
        <v>1.1309251380312623E-2</v>
      </c>
      <c r="U132" s="12">
        <f t="shared" si="33"/>
        <v>4.6599534840746004E-3</v>
      </c>
      <c r="V132" s="12">
        <f t="shared" si="34"/>
        <v>0</v>
      </c>
      <c r="W132" s="12">
        <f t="shared" si="35"/>
        <v>1.0569804665813392</v>
      </c>
      <c r="X132" s="12">
        <f t="shared" si="36"/>
        <v>1.2016591842141706E-4</v>
      </c>
      <c r="Y132" s="12">
        <f t="shared" si="37"/>
        <v>2.0138873012149872E-3</v>
      </c>
      <c r="Z132" s="12">
        <f t="shared" si="38"/>
        <v>6.3618702288002142E-4</v>
      </c>
      <c r="AA132" s="12">
        <f t="shared" si="26"/>
        <v>0</v>
      </c>
      <c r="AB132" s="12">
        <f t="shared" si="27"/>
        <v>0</v>
      </c>
      <c r="AC132" s="12">
        <f t="shared" si="39"/>
        <v>-4.5621845998723147E-2</v>
      </c>
      <c r="AD132" s="12">
        <f t="shared" si="28"/>
        <v>-62.418214025426231</v>
      </c>
    </row>
    <row r="133" spans="1:30" x14ac:dyDescent="0.25">
      <c r="A133" s="26">
        <f t="shared" ref="A133:A149" si="40">A132+50</f>
        <v>200</v>
      </c>
      <c r="B133" s="12">
        <f t="shared" si="10"/>
        <v>1256.6370614359173</v>
      </c>
      <c r="C133" s="13">
        <f t="shared" si="11"/>
        <v>65.508739084398783</v>
      </c>
      <c r="D133" s="13">
        <f t="shared" si="12"/>
        <v>0.99996896636275268</v>
      </c>
      <c r="E133" s="13">
        <f t="shared" si="13"/>
        <v>6.0870301899084454E-2</v>
      </c>
      <c r="F133" s="13">
        <f t="shared" si="14"/>
        <v>1.5793150221764196E-2</v>
      </c>
      <c r="G133" s="13">
        <f t="shared" si="15"/>
        <v>9.8745464657457537E-4</v>
      </c>
      <c r="H133" s="13">
        <f t="shared" si="16"/>
        <v>1.676574482697526E-4</v>
      </c>
      <c r="I133" s="13">
        <f t="shared" si="17"/>
        <v>0</v>
      </c>
      <c r="J133" s="13">
        <f t="shared" si="18"/>
        <v>8.1831173862937447</v>
      </c>
      <c r="K133" s="13">
        <f t="shared" si="19"/>
        <v>1.1148704524241916E-7</v>
      </c>
      <c r="L133" s="13">
        <f t="shared" si="20"/>
        <v>0.99999972556626571</v>
      </c>
      <c r="M133" s="13">
        <f t="shared" si="21"/>
        <v>2.6851862839196573E-3</v>
      </c>
      <c r="N133" s="13">
        <f t="shared" si="22"/>
        <v>2.8929813797816987E-5</v>
      </c>
      <c r="O133" s="13">
        <f t="shared" si="30"/>
        <v>3.1248657038767063E-6</v>
      </c>
      <c r="P133" s="13">
        <f t="shared" si="23"/>
        <v>0</v>
      </c>
      <c r="Q133" s="13">
        <f t="shared" si="24"/>
        <v>0</v>
      </c>
      <c r="R133" s="27">
        <f t="shared" si="25"/>
        <v>57.310951493811572</v>
      </c>
      <c r="S133" s="12">
        <f t="shared" si="31"/>
        <v>6.0797171948731452E-2</v>
      </c>
      <c r="T133" s="12">
        <f t="shared" si="32"/>
        <v>1.50785018777722E-2</v>
      </c>
      <c r="U133" s="12">
        <f t="shared" si="33"/>
        <v>6.2132363327708105E-3</v>
      </c>
      <c r="V133" s="12">
        <f t="shared" si="34"/>
        <v>0</v>
      </c>
      <c r="W133" s="12">
        <f t="shared" si="35"/>
        <v>1.1703796853422614</v>
      </c>
      <c r="X133" s="12">
        <f t="shared" si="36"/>
        <v>1.6022122396207493E-4</v>
      </c>
      <c r="Y133" s="12">
        <f t="shared" si="37"/>
        <v>2.6851805672487333E-3</v>
      </c>
      <c r="Z133" s="12">
        <f t="shared" si="38"/>
        <v>8.4824927483238301E-4</v>
      </c>
      <c r="AA133" s="12">
        <f t="shared" si="26"/>
        <v>0</v>
      </c>
      <c r="AB133" s="12">
        <f t="shared" si="27"/>
        <v>0</v>
      </c>
      <c r="AC133" s="12">
        <f t="shared" si="39"/>
        <v>-6.0797171948731452E-2</v>
      </c>
      <c r="AD133" s="12">
        <f t="shared" si="28"/>
        <v>-69.532941636071072</v>
      </c>
    </row>
    <row r="134" spans="1:30" x14ac:dyDescent="0.25">
      <c r="A134" s="26">
        <v>250</v>
      </c>
      <c r="B134" s="12">
        <f t="shared" si="10"/>
        <v>1570.7963267948965</v>
      </c>
      <c r="C134" s="13">
        <f t="shared" si="11"/>
        <v>65.508739084398783</v>
      </c>
      <c r="D134" s="13">
        <f t="shared" si="12"/>
        <v>0.99995150994180115</v>
      </c>
      <c r="E134" s="13">
        <f t="shared" si="13"/>
        <v>7.6087875830325349E-2</v>
      </c>
      <c r="F134" s="13">
        <f t="shared" si="14"/>
        <v>2.4651626069586284E-2</v>
      </c>
      <c r="G134" s="13">
        <f t="shared" si="15"/>
        <v>1.5427992362874784E-3</v>
      </c>
      <c r="H134" s="13">
        <f t="shared" si="16"/>
        <v>2.6196191870869859E-4</v>
      </c>
      <c r="I134" s="13">
        <f t="shared" si="17"/>
        <v>0</v>
      </c>
      <c r="J134" s="13">
        <f t="shared" si="18"/>
        <v>9.8770122372470777</v>
      </c>
      <c r="K134" s="13">
        <f t="shared" si="19"/>
        <v>1.7419850720080715E-7</v>
      </c>
      <c r="L134" s="13">
        <f t="shared" si="20"/>
        <v>0.99999957119729022</v>
      </c>
      <c r="M134" s="13">
        <f t="shared" si="21"/>
        <v>3.3564828548995713E-3</v>
      </c>
      <c r="N134" s="13">
        <f t="shared" si="22"/>
        <v>4.520274965987002E-5</v>
      </c>
      <c r="O134" s="13">
        <f t="shared" si="30"/>
        <v>4.8826016724842045E-6</v>
      </c>
      <c r="P134" s="13">
        <f t="shared" si="23"/>
        <v>0</v>
      </c>
      <c r="Q134" s="13">
        <f t="shared" si="24"/>
        <v>0</v>
      </c>
      <c r="R134" s="27">
        <f t="shared" si="25"/>
        <v>55.608829722687283</v>
      </c>
      <c r="S134" s="12">
        <f t="shared" si="31"/>
        <v>7.5945218728407787E-2</v>
      </c>
      <c r="T134" s="12">
        <f t="shared" si="32"/>
        <v>1.884732394541884E-2</v>
      </c>
      <c r="U134" s="12">
        <f t="shared" si="33"/>
        <v>7.766489200487405E-3</v>
      </c>
      <c r="V134" s="12">
        <f t="shared" si="34"/>
        <v>0</v>
      </c>
      <c r="W134" s="12">
        <f t="shared" si="35"/>
        <v>1.2442885793647906</v>
      </c>
      <c r="X134" s="12">
        <f t="shared" si="36"/>
        <v>2.0027652898860611E-4</v>
      </c>
      <c r="Y134" s="12">
        <f t="shared" si="37"/>
        <v>3.356471689551731E-3</v>
      </c>
      <c r="Z134" s="12">
        <f t="shared" si="38"/>
        <v>1.0603114504925387E-3</v>
      </c>
      <c r="AA134" s="12">
        <f t="shared" si="26"/>
        <v>0</v>
      </c>
      <c r="AB134" s="12">
        <f t="shared" si="27"/>
        <v>0</v>
      </c>
      <c r="AC134" s="12">
        <f t="shared" si="39"/>
        <v>-7.5945218728407787E-2</v>
      </c>
      <c r="AD134" s="12">
        <f t="shared" si="28"/>
        <v>-74.383503464052581</v>
      </c>
    </row>
    <row r="135" spans="1:30" x14ac:dyDescent="0.25">
      <c r="A135" s="26">
        <f t="shared" si="40"/>
        <v>300</v>
      </c>
      <c r="B135" s="12">
        <f t="shared" si="10"/>
        <v>1884.9555921538758</v>
      </c>
      <c r="C135" s="13">
        <f t="shared" si="11"/>
        <v>65.508739084398783</v>
      </c>
      <c r="D135" s="13">
        <f t="shared" si="12"/>
        <v>0.99993017431619369</v>
      </c>
      <c r="E135" s="13">
        <f t="shared" si="13"/>
        <v>9.1305448732546118E-2</v>
      </c>
      <c r="F135" s="13">
        <f t="shared" si="14"/>
        <v>3.5454173876850917E-2</v>
      </c>
      <c r="G135" s="13">
        <f t="shared" si="15"/>
        <v>2.2214573109257266E-3</v>
      </c>
      <c r="H135" s="13">
        <f t="shared" si="16"/>
        <v>3.7722015728644699E-4</v>
      </c>
      <c r="I135" s="13">
        <f t="shared" si="17"/>
        <v>0</v>
      </c>
      <c r="J135" s="13">
        <f t="shared" si="18"/>
        <v>11.321932824381433</v>
      </c>
      <c r="K135" s="13">
        <f t="shared" si="19"/>
        <v>2.5084584640797714E-7</v>
      </c>
      <c r="L135" s="13">
        <f t="shared" si="20"/>
        <v>0.99999938252409781</v>
      </c>
      <c r="M135" s="13">
        <f t="shared" si="21"/>
        <v>4.0277794258794858E-3</v>
      </c>
      <c r="N135" s="13">
        <f t="shared" si="22"/>
        <v>6.5091810965016525E-5</v>
      </c>
      <c r="O135" s="13">
        <f t="shared" si="30"/>
        <v>7.0309446708215012E-6</v>
      </c>
      <c r="P135" s="13">
        <f t="shared" si="23"/>
        <v>0</v>
      </c>
      <c r="Q135" s="13">
        <f t="shared" si="24"/>
        <v>0</v>
      </c>
      <c r="R135" s="27">
        <f t="shared" si="25"/>
        <v>54.153878390007222</v>
      </c>
      <c r="S135" s="12">
        <f t="shared" si="31"/>
        <v>9.1059305313680075E-2</v>
      </c>
      <c r="T135" s="12">
        <f t="shared" si="32"/>
        <v>2.26156106127402E-2</v>
      </c>
      <c r="U135" s="12">
        <f t="shared" si="33"/>
        <v>9.3197045936069915E-3</v>
      </c>
      <c r="V135" s="12">
        <f t="shared" si="34"/>
        <v>0</v>
      </c>
      <c r="W135" s="12">
        <f t="shared" si="35"/>
        <v>1.2957583504573049</v>
      </c>
      <c r="X135" s="12">
        <f t="shared" si="36"/>
        <v>2.4033183337247903E-4</v>
      </c>
      <c r="Y135" s="12">
        <f t="shared" si="37"/>
        <v>4.0277601322113383E-3</v>
      </c>
      <c r="Z135" s="12">
        <f t="shared" si="38"/>
        <v>1.2723735307875142E-3</v>
      </c>
      <c r="AA135" s="12">
        <f t="shared" si="26"/>
        <v>0</v>
      </c>
      <c r="AB135" s="12">
        <f t="shared" si="27"/>
        <v>0</v>
      </c>
      <c r="AC135" s="12">
        <f t="shared" si="39"/>
        <v>-9.1059305313680075E-2</v>
      </c>
      <c r="AD135" s="12">
        <f t="shared" si="28"/>
        <v>-77.946485140640348</v>
      </c>
    </row>
    <row r="136" spans="1:30" x14ac:dyDescent="0.25">
      <c r="A136" s="26">
        <v>350</v>
      </c>
      <c r="B136" s="12">
        <f t="shared" si="10"/>
        <v>2199.114857512855</v>
      </c>
      <c r="C136" s="13">
        <f t="shared" si="11"/>
        <v>65.508739084398783</v>
      </c>
      <c r="D136" s="13">
        <f t="shared" si="12"/>
        <v>0.99990495948593028</v>
      </c>
      <c r="E136" s="13">
        <f t="shared" si="13"/>
        <v>0.1065230203999427</v>
      </c>
      <c r="F136" s="13">
        <f t="shared" si="14"/>
        <v>4.8186278900656208E-2</v>
      </c>
      <c r="G136" s="13">
        <f t="shared" si="15"/>
        <v>3.0233710588818421E-3</v>
      </c>
      <c r="H136" s="13">
        <f t="shared" si="16"/>
        <v>5.1343049570444596E-4</v>
      </c>
      <c r="I136" s="13">
        <f t="shared" si="17"/>
        <v>0</v>
      </c>
      <c r="J136" s="13">
        <f t="shared" si="18"/>
        <v>12.575041886152302</v>
      </c>
      <c r="K136" s="13">
        <f t="shared" si="19"/>
        <v>3.4142906635231362E-7</v>
      </c>
      <c r="L136" s="13">
        <f t="shared" si="20"/>
        <v>0.99999915954668872</v>
      </c>
      <c r="M136" s="13">
        <f t="shared" si="21"/>
        <v>4.6990759968593993E-3</v>
      </c>
      <c r="N136" s="13">
        <f t="shared" si="22"/>
        <v>8.8596948207175338E-5</v>
      </c>
      <c r="O136" s="13">
        <f t="shared" si="30"/>
        <v>9.5698941158984915E-6</v>
      </c>
      <c r="P136" s="13">
        <f t="shared" si="23"/>
        <v>0</v>
      </c>
      <c r="Q136" s="13">
        <f t="shared" si="24"/>
        <v>0</v>
      </c>
      <c r="R136" s="27">
        <f t="shared" si="25"/>
        <v>52.888949212629015</v>
      </c>
      <c r="S136" s="12">
        <f t="shared" si="31"/>
        <v>0.10613284181620335</v>
      </c>
      <c r="T136" s="12">
        <f t="shared" si="32"/>
        <v>2.6383255000432284E-2</v>
      </c>
      <c r="U136" s="12">
        <f t="shared" si="33"/>
        <v>1.0872875019597005E-2</v>
      </c>
      <c r="V136" s="12">
        <f t="shared" si="34"/>
        <v>0</v>
      </c>
      <c r="W136" s="12">
        <f t="shared" si="35"/>
        <v>1.3334775069651279</v>
      </c>
      <c r="X136" s="12">
        <f t="shared" si="36"/>
        <v>2.8038713698516193E-4</v>
      </c>
      <c r="Y136" s="12">
        <f t="shared" si="37"/>
        <v>4.699045359328277E-3</v>
      </c>
      <c r="Z136" s="12">
        <f t="shared" si="38"/>
        <v>1.4844354966443867E-3</v>
      </c>
      <c r="AA136" s="12">
        <f t="shared" si="26"/>
        <v>0</v>
      </c>
      <c r="AB136" s="12">
        <f t="shared" si="27"/>
        <v>0</v>
      </c>
      <c r="AC136" s="12">
        <f t="shared" si="39"/>
        <v>-0.10613284181620335</v>
      </c>
      <c r="AD136" s="12">
        <f t="shared" si="28"/>
        <v>-80.719330472714546</v>
      </c>
    </row>
    <row r="137" spans="1:30" x14ac:dyDescent="0.25">
      <c r="A137" s="26">
        <f t="shared" si="40"/>
        <v>400</v>
      </c>
      <c r="B137" s="12">
        <f t="shared" si="10"/>
        <v>2513.2741228718346</v>
      </c>
      <c r="C137" s="13">
        <f t="shared" si="11"/>
        <v>65.508739084398783</v>
      </c>
      <c r="D137" s="13">
        <f t="shared" si="12"/>
        <v>0.99987586545101093</v>
      </c>
      <c r="E137" s="13">
        <f t="shared" si="13"/>
        <v>0.12174059062671112</v>
      </c>
      <c r="F137" s="13">
        <f t="shared" si="14"/>
        <v>6.2830941677960619E-2</v>
      </c>
      <c r="G137" s="13">
        <f t="shared" si="15"/>
        <v>3.9484721961534075E-3</v>
      </c>
      <c r="H137" s="13">
        <f t="shared" si="16"/>
        <v>6.7059096253091076E-4</v>
      </c>
      <c r="I137" s="13">
        <f t="shared" si="17"/>
        <v>0</v>
      </c>
      <c r="J137" s="13">
        <f t="shared" si="18"/>
        <v>13.678254333974795</v>
      </c>
      <c r="K137" s="13">
        <f t="shared" si="19"/>
        <v>4.459481627405042E-7</v>
      </c>
      <c r="L137" s="13">
        <f t="shared" si="20"/>
        <v>0.99999890226506283</v>
      </c>
      <c r="M137" s="13">
        <f t="shared" si="21"/>
        <v>5.3703725678393146E-3</v>
      </c>
      <c r="N137" s="13">
        <f t="shared" si="22"/>
        <v>1.1571810286679376E-4</v>
      </c>
      <c r="O137" s="13">
        <f t="shared" si="30"/>
        <v>1.2499449321883613E-5</v>
      </c>
      <c r="P137" s="13">
        <f t="shared" si="23"/>
        <v>0</v>
      </c>
      <c r="Q137" s="13">
        <f t="shared" si="24"/>
        <v>0</v>
      </c>
      <c r="R137" s="27">
        <f t="shared" si="25"/>
        <v>51.77214420840437</v>
      </c>
      <c r="S137" s="12">
        <f t="shared" si="31"/>
        <v>0.12115934635641411</v>
      </c>
      <c r="T137" s="12">
        <f t="shared" si="32"/>
        <v>3.0150150338555611E-2</v>
      </c>
      <c r="U137" s="12">
        <f t="shared" si="33"/>
        <v>1.2425992987226506E-2</v>
      </c>
      <c r="V137" s="12">
        <f t="shared" si="34"/>
        <v>0</v>
      </c>
      <c r="W137" s="12">
        <f t="shared" si="35"/>
        <v>1.3622318042875781</v>
      </c>
      <c r="X137" s="12">
        <f t="shared" si="36"/>
        <v>3.2044243969812328E-4</v>
      </c>
      <c r="Y137" s="12">
        <f t="shared" si="37"/>
        <v>5.3703268350193071E-3</v>
      </c>
      <c r="Z137" s="12">
        <f t="shared" si="38"/>
        <v>1.6964973289902952E-3</v>
      </c>
      <c r="AA137" s="12">
        <f t="shared" si="26"/>
        <v>0</v>
      </c>
      <c r="AB137" s="12">
        <f t="shared" si="27"/>
        <v>0</v>
      </c>
      <c r="AC137" s="12">
        <f t="shared" si="39"/>
        <v>-0.12115934635641411</v>
      </c>
      <c r="AD137" s="12">
        <f t="shared" si="28"/>
        <v>-82.975878176974646</v>
      </c>
    </row>
    <row r="138" spans="1:30" x14ac:dyDescent="0.25">
      <c r="A138" s="26">
        <f t="shared" si="40"/>
        <v>450</v>
      </c>
      <c r="B138" s="12">
        <f t="shared" si="10"/>
        <v>2827.4333882308138</v>
      </c>
      <c r="C138" s="13">
        <f t="shared" si="11"/>
        <v>65.508739084398783</v>
      </c>
      <c r="D138" s="13">
        <f t="shared" si="12"/>
        <v>0.99984289221143574</v>
      </c>
      <c r="E138" s="13">
        <f t="shared" si="13"/>
        <v>0.13695815920704732</v>
      </c>
      <c r="F138" s="13">
        <f t="shared" si="14"/>
        <v>7.9368752646772692E-2</v>
      </c>
      <c r="G138" s="13">
        <f t="shared" si="15"/>
        <v>4.9966819857158035E-3</v>
      </c>
      <c r="H138" s="13">
        <f t="shared" si="16"/>
        <v>8.4869928328147202E-4</v>
      </c>
      <c r="I138" s="13">
        <f t="shared" si="17"/>
        <v>0</v>
      </c>
      <c r="J138" s="13">
        <f t="shared" si="18"/>
        <v>14.66205077530158</v>
      </c>
      <c r="K138" s="13">
        <f t="shared" si="19"/>
        <v>5.6440313314081434E-7</v>
      </c>
      <c r="L138" s="13">
        <f t="shared" si="20"/>
        <v>0.99999861067922013</v>
      </c>
      <c r="M138" s="13">
        <f t="shared" si="21"/>
        <v>6.0416691388192291E-3</v>
      </c>
      <c r="N138" s="13">
        <f t="shared" si="22"/>
        <v>1.4645520742850962E-4</v>
      </c>
      <c r="O138" s="13">
        <f t="shared" si="30"/>
        <v>1.5819609500104242E-5</v>
      </c>
      <c r="P138" s="13">
        <f t="shared" si="23"/>
        <v>0</v>
      </c>
      <c r="Q138" s="13">
        <f t="shared" si="24"/>
        <v>0</v>
      </c>
      <c r="R138" s="27">
        <f t="shared" si="25"/>
        <v>50.773002098499369</v>
      </c>
      <c r="S138" s="12">
        <f t="shared" si="31"/>
        <v>0.13613246122610351</v>
      </c>
      <c r="T138" s="12">
        <f t="shared" si="32"/>
        <v>3.3916189984644872E-2</v>
      </c>
      <c r="U138" s="12">
        <f t="shared" si="33"/>
        <v>1.3979051006782876E-2</v>
      </c>
      <c r="V138" s="12">
        <f t="shared" si="34"/>
        <v>0</v>
      </c>
      <c r="W138" s="12">
        <f t="shared" si="35"/>
        <v>1.3848433095628776</v>
      </c>
      <c r="X138" s="12">
        <f t="shared" si="36"/>
        <v>3.6049774138283142E-4</v>
      </c>
      <c r="Y138" s="12">
        <f t="shared" si="37"/>
        <v>6.0416040234198909E-3</v>
      </c>
      <c r="Z138" s="12">
        <f t="shared" si="38"/>
        <v>1.9085590087524506E-3</v>
      </c>
      <c r="AA138" s="12">
        <f t="shared" si="26"/>
        <v>0</v>
      </c>
      <c r="AB138" s="12">
        <f t="shared" si="27"/>
        <v>0</v>
      </c>
      <c r="AC138" s="12">
        <f t="shared" si="39"/>
        <v>-0.13613246122610351</v>
      </c>
      <c r="AD138" s="12">
        <f t="shared" si="28"/>
        <v>-84.877463027584753</v>
      </c>
    </row>
    <row r="139" spans="1:30" x14ac:dyDescent="0.25">
      <c r="A139" s="26">
        <f t="shared" si="40"/>
        <v>500</v>
      </c>
      <c r="B139" s="12">
        <f t="shared" si="10"/>
        <v>3141.5926535897929</v>
      </c>
      <c r="C139" s="13">
        <f t="shared" si="11"/>
        <v>65.508739084398783</v>
      </c>
      <c r="D139" s="13">
        <f t="shared" si="12"/>
        <v>0.99980603976720461</v>
      </c>
      <c r="E139" s="13">
        <f t="shared" si="13"/>
        <v>0.15217572593514722</v>
      </c>
      <c r="F139" s="13">
        <f t="shared" si="14"/>
        <v>9.7777976354033805E-2</v>
      </c>
      <c r="G139" s="13">
        <f t="shared" si="15"/>
        <v>6.167911259832199E-3</v>
      </c>
      <c r="H139" s="13">
        <f t="shared" si="16"/>
        <v>1.0477528805513765E-3</v>
      </c>
      <c r="I139" s="13">
        <f t="shared" si="17"/>
        <v>0</v>
      </c>
      <c r="J139" s="13">
        <f t="shared" si="18"/>
        <v>15.548903160194696</v>
      </c>
      <c r="K139" s="13">
        <f t="shared" si="19"/>
        <v>6.9679398276905131E-7</v>
      </c>
      <c r="L139" s="13">
        <f t="shared" si="20"/>
        <v>0.99999828478916064</v>
      </c>
      <c r="M139" s="13">
        <f t="shared" si="21"/>
        <v>6.7129657097991426E-3</v>
      </c>
      <c r="N139" s="13">
        <f t="shared" si="22"/>
        <v>1.8080818537957369E-4</v>
      </c>
      <c r="O139" s="13">
        <f t="shared" si="30"/>
        <v>1.9530373755189827E-5</v>
      </c>
      <c r="P139" s="13">
        <f t="shared" si="23"/>
        <v>0</v>
      </c>
      <c r="Q139" s="13">
        <f t="shared" si="24"/>
        <v>0</v>
      </c>
      <c r="R139" s="27">
        <f t="shared" si="25"/>
        <v>49.869072576637322</v>
      </c>
      <c r="S139" s="12">
        <f t="shared" si="31"/>
        <v>0.15104596824471922</v>
      </c>
      <c r="T139" s="12">
        <f t="shared" si="32"/>
        <v>3.7681267441764407E-2</v>
      </c>
      <c r="U139" s="12">
        <f t="shared" si="33"/>
        <v>1.5532041590288419E-2</v>
      </c>
      <c r="V139" s="12">
        <f t="shared" si="34"/>
        <v>0</v>
      </c>
      <c r="W139" s="12">
        <f t="shared" si="35"/>
        <v>1.4030732009107354</v>
      </c>
      <c r="X139" s="12">
        <f t="shared" si="36"/>
        <v>4.0055304191075476E-4</v>
      </c>
      <c r="Y139" s="12">
        <f t="shared" si="37"/>
        <v>6.7128763886868739E-3</v>
      </c>
      <c r="Z139" s="12">
        <f t="shared" si="38"/>
        <v>2.1206205168581463E-3</v>
      </c>
      <c r="AA139" s="12">
        <f t="shared" si="26"/>
        <v>0</v>
      </c>
      <c r="AB139" s="12">
        <f t="shared" si="27"/>
        <v>0</v>
      </c>
      <c r="AC139" s="12">
        <f t="shared" si="39"/>
        <v>-0.15104596824471922</v>
      </c>
      <c r="AD139" s="12">
        <f t="shared" si="28"/>
        <v>-86.524643321325811</v>
      </c>
    </row>
    <row r="140" spans="1:30" x14ac:dyDescent="0.25">
      <c r="A140" s="26">
        <f t="shared" si="40"/>
        <v>550</v>
      </c>
      <c r="B140" s="12">
        <f t="shared" si="10"/>
        <v>3455.7519189487725</v>
      </c>
      <c r="C140" s="13">
        <f t="shared" si="11"/>
        <v>65.508739084398783</v>
      </c>
      <c r="D140" s="13">
        <f t="shared" si="12"/>
        <v>0.99976530811831754</v>
      </c>
      <c r="E140" s="13">
        <f t="shared" si="13"/>
        <v>0.16739329060520691</v>
      </c>
      <c r="F140" s="13">
        <f t="shared" si="14"/>
        <v>0.11803464449766696</v>
      </c>
      <c r="G140" s="13">
        <f t="shared" si="15"/>
        <v>7.4620604452955187E-3</v>
      </c>
      <c r="H140" s="13">
        <f t="shared" si="16"/>
        <v>1.2677488741220943E-3</v>
      </c>
      <c r="I140" s="13">
        <f t="shared" si="17"/>
        <v>0</v>
      </c>
      <c r="J140" s="13">
        <f t="shared" si="18"/>
        <v>16.355700648424989</v>
      </c>
      <c r="K140" s="13">
        <f t="shared" si="19"/>
        <v>8.4312070520201636E-7</v>
      </c>
      <c r="L140" s="13">
        <f t="shared" si="20"/>
        <v>0.99999792459488446</v>
      </c>
      <c r="M140" s="13">
        <f t="shared" si="21"/>
        <v>7.3842622807790579E-3</v>
      </c>
      <c r="N140" s="13">
        <f t="shared" si="22"/>
        <v>2.1877695120253301E-4</v>
      </c>
      <c r="O140" s="13">
        <f t="shared" si="30"/>
        <v>2.3631741087001022E-5</v>
      </c>
      <c r="P140" s="13">
        <f t="shared" si="23"/>
        <v>0</v>
      </c>
      <c r="Q140" s="13">
        <f t="shared" si="24"/>
        <v>0</v>
      </c>
      <c r="R140" s="27">
        <f t="shared" si="25"/>
        <v>49.043490348982559</v>
      </c>
      <c r="S140" s="12">
        <f t="shared" si="31"/>
        <v>0.1658938032232074</v>
      </c>
      <c r="T140" s="12">
        <f t="shared" si="32"/>
        <v>4.1445276376501902E-2</v>
      </c>
      <c r="U140" s="12">
        <f t="shared" si="33"/>
        <v>1.7084957251716812E-2</v>
      </c>
      <c r="V140" s="12">
        <f t="shared" si="34"/>
        <v>0</v>
      </c>
      <c r="W140" s="12">
        <f t="shared" si="35"/>
        <v>1.4180732892897936</v>
      </c>
      <c r="X140" s="12">
        <f t="shared" si="36"/>
        <v>4.4060834115336185E-4</v>
      </c>
      <c r="Y140" s="12">
        <f t="shared" si="37"/>
        <v>7.3841433950011552E-3</v>
      </c>
      <c r="Z140" s="12">
        <f t="shared" si="38"/>
        <v>2.3326818342347686E-3</v>
      </c>
      <c r="AA140" s="12">
        <f t="shared" si="26"/>
        <v>0</v>
      </c>
      <c r="AB140" s="12">
        <f t="shared" si="27"/>
        <v>0</v>
      </c>
      <c r="AC140" s="12">
        <f t="shared" si="39"/>
        <v>-0.1658938032232074</v>
      </c>
      <c r="AD140" s="12">
        <f t="shared" si="28"/>
        <v>-87.983072002059174</v>
      </c>
    </row>
    <row r="141" spans="1:30" x14ac:dyDescent="0.25">
      <c r="A141" s="26">
        <f t="shared" si="40"/>
        <v>600</v>
      </c>
      <c r="B141" s="12">
        <f t="shared" si="10"/>
        <v>3769.9111843077517</v>
      </c>
      <c r="C141" s="13">
        <f t="shared" si="11"/>
        <v>65.508739084398783</v>
      </c>
      <c r="D141" s="13">
        <f t="shared" si="12"/>
        <v>0.99972069726477453</v>
      </c>
      <c r="E141" s="13">
        <f t="shared" si="13"/>
        <v>0.18261085301142224</v>
      </c>
      <c r="F141" s="13">
        <f t="shared" si="14"/>
        <v>0.140112656986872</v>
      </c>
      <c r="G141" s="13">
        <f t="shared" si="15"/>
        <v>8.8790195916075287E-3</v>
      </c>
      <c r="H141" s="13">
        <f t="shared" si="16"/>
        <v>1.5086840811078897E-3</v>
      </c>
      <c r="I141" s="13">
        <f t="shared" si="17"/>
        <v>0</v>
      </c>
      <c r="J141" s="13">
        <f t="shared" si="18"/>
        <v>17.095388256619753</v>
      </c>
      <c r="K141" s="13">
        <f t="shared" si="19"/>
        <v>1.0033832997353981E-6</v>
      </c>
      <c r="L141" s="13">
        <f t="shared" si="20"/>
        <v>0.99999753009639136</v>
      </c>
      <c r="M141" s="13">
        <f t="shared" si="21"/>
        <v>8.0555588517589715E-3</v>
      </c>
      <c r="N141" s="13">
        <f t="shared" si="22"/>
        <v>2.6036141038531874E-4</v>
      </c>
      <c r="O141" s="13">
        <f t="shared" si="30"/>
        <v>2.8123710384844348E-5</v>
      </c>
      <c r="P141" s="13">
        <f t="shared" si="23"/>
        <v>0</v>
      </c>
      <c r="Q141" s="13">
        <f t="shared" si="24"/>
        <v>0</v>
      </c>
      <c r="R141" s="27">
        <f t="shared" si="25"/>
        <v>48.283336385960794</v>
      </c>
      <c r="S141" s="12">
        <f t="shared" si="31"/>
        <v>0.18067006945962255</v>
      </c>
      <c r="T141" s="12">
        <f t="shared" si="32"/>
        <v>4.520811063689268E-2</v>
      </c>
      <c r="U141" s="12">
        <f t="shared" si="33"/>
        <v>1.8637790507209435E-2</v>
      </c>
      <c r="V141" s="12">
        <f t="shared" si="34"/>
        <v>0</v>
      </c>
      <c r="W141" s="12">
        <f t="shared" si="35"/>
        <v>1.4306267851451651</v>
      </c>
      <c r="X141" s="12">
        <f t="shared" si="36"/>
        <v>4.80663638982121E-4</v>
      </c>
      <c r="Y141" s="12">
        <f t="shared" si="37"/>
        <v>8.055404506570352E-3</v>
      </c>
      <c r="Z141" s="12">
        <f t="shared" si="38"/>
        <v>2.5447429418098055E-3</v>
      </c>
      <c r="AA141" s="12">
        <f t="shared" si="26"/>
        <v>0</v>
      </c>
      <c r="AB141" s="12">
        <f t="shared" si="27"/>
        <v>0</v>
      </c>
      <c r="AC141" s="12">
        <f t="shared" si="39"/>
        <v>-0.18067006945962255</v>
      </c>
      <c r="AD141" s="12">
        <f t="shared" si="28"/>
        <v>-89.297292345680077</v>
      </c>
    </row>
    <row r="142" spans="1:30" x14ac:dyDescent="0.25">
      <c r="A142" s="26">
        <f t="shared" si="40"/>
        <v>650</v>
      </c>
      <c r="B142" s="12">
        <f t="shared" si="10"/>
        <v>4084.0704496667308</v>
      </c>
      <c r="C142" s="13">
        <f t="shared" si="11"/>
        <v>65.508739084398783</v>
      </c>
      <c r="D142" s="13">
        <f t="shared" si="12"/>
        <v>0.99967220720657568</v>
      </c>
      <c r="E142" s="13">
        <f t="shared" si="13"/>
        <v>0.19782841294798925</v>
      </c>
      <c r="F142" s="13">
        <f t="shared" si="14"/>
        <v>0.16398389015337889</v>
      </c>
      <c r="G142" s="13">
        <f t="shared" si="15"/>
        <v>1.041866840204308E-2</v>
      </c>
      <c r="H142" s="13">
        <f t="shared" si="16"/>
        <v>1.770555016109566E-3</v>
      </c>
      <c r="I142" s="13">
        <f t="shared" si="17"/>
        <v>0</v>
      </c>
      <c r="J142" s="13">
        <f t="shared" si="18"/>
        <v>17.778072206328524</v>
      </c>
      <c r="K142" s="13">
        <f t="shared" si="19"/>
        <v>1.1775817655978077E-6</v>
      </c>
      <c r="L142" s="13">
        <f t="shared" si="20"/>
        <v>0.99999710129368158</v>
      </c>
      <c r="M142" s="13">
        <f t="shared" si="21"/>
        <v>8.7268554227388859E-3</v>
      </c>
      <c r="N142" s="13">
        <f t="shared" si="22"/>
        <v>3.0556145941402319E-4</v>
      </c>
      <c r="O142" s="13">
        <f t="shared" si="30"/>
        <v>3.3006280439044662E-5</v>
      </c>
      <c r="P142" s="13">
        <f t="shared" si="23"/>
        <v>0</v>
      </c>
      <c r="Q142" s="13">
        <f t="shared" si="24"/>
        <v>0</v>
      </c>
      <c r="R142" s="27">
        <f t="shared" si="25"/>
        <v>47.578532466013414</v>
      </c>
      <c r="S142" s="12">
        <f t="shared" si="31"/>
        <v>0.19536905020177053</v>
      </c>
      <c r="T142" s="12">
        <f t="shared" si="32"/>
        <v>4.8969664270267124E-2</v>
      </c>
      <c r="U142" s="12">
        <f t="shared" si="33"/>
        <v>2.0190533875291534E-2</v>
      </c>
      <c r="V142" s="12">
        <f t="shared" si="34"/>
        <v>0</v>
      </c>
      <c r="W142" s="12">
        <f t="shared" si="35"/>
        <v>1.4412839803262691</v>
      </c>
      <c r="X142" s="12">
        <f t="shared" si="36"/>
        <v>5.2071893526850076E-4</v>
      </c>
      <c r="Y142" s="12">
        <f t="shared" si="37"/>
        <v>8.7266591876314758E-3</v>
      </c>
      <c r="Z142" s="12">
        <f t="shared" si="38"/>
        <v>2.7568038205108597E-3</v>
      </c>
      <c r="AA142" s="12">
        <f t="shared" si="26"/>
        <v>0</v>
      </c>
      <c r="AB142" s="12">
        <f t="shared" si="27"/>
        <v>0</v>
      </c>
      <c r="AC142" s="12">
        <f t="shared" si="39"/>
        <v>-0.19536905020177053</v>
      </c>
      <c r="AD142" s="12">
        <f t="shared" si="28"/>
        <v>-90.498512674388124</v>
      </c>
    </row>
    <row r="143" spans="1:30" x14ac:dyDescent="0.25">
      <c r="A143" s="26">
        <f t="shared" si="40"/>
        <v>700</v>
      </c>
      <c r="B143" s="12">
        <f t="shared" si="10"/>
        <v>4398.22971502571</v>
      </c>
      <c r="C143" s="13">
        <f t="shared" si="11"/>
        <v>65.508739084398783</v>
      </c>
      <c r="D143" s="13">
        <f t="shared" si="12"/>
        <v>0.99961983794372089</v>
      </c>
      <c r="E143" s="13">
        <f t="shared" si="13"/>
        <v>0.21304597020910387</v>
      </c>
      <c r="F143" s="13">
        <f t="shared" si="14"/>
        <v>0.1896183112071656</v>
      </c>
      <c r="G143" s="13">
        <f t="shared" si="15"/>
        <v>1.2080876267602264E-2</v>
      </c>
      <c r="H143" s="13">
        <f t="shared" si="16"/>
        <v>2.0533578913734408E-3</v>
      </c>
      <c r="I143" s="13">
        <f t="shared" si="17"/>
        <v>0</v>
      </c>
      <c r="J143" s="13">
        <f t="shared" si="18"/>
        <v>18.411775443110944</v>
      </c>
      <c r="K143" s="13">
        <f t="shared" si="19"/>
        <v>1.3657161000221248E-6</v>
      </c>
      <c r="L143" s="13">
        <f t="shared" si="20"/>
        <v>0.99999663818675499</v>
      </c>
      <c r="M143" s="13">
        <f t="shared" si="21"/>
        <v>9.3981519937187986E-3</v>
      </c>
      <c r="N143" s="13">
        <f t="shared" si="22"/>
        <v>3.5437698577922371E-4</v>
      </c>
      <c r="O143" s="13">
        <f t="shared" si="30"/>
        <v>3.8279449931302641E-5</v>
      </c>
      <c r="P143" s="13">
        <f t="shared" si="23"/>
        <v>0</v>
      </c>
      <c r="Q143" s="13">
        <f t="shared" si="24"/>
        <v>0</v>
      </c>
      <c r="R143" s="27">
        <f t="shared" si="25"/>
        <v>46.921085542087837</v>
      </c>
      <c r="S143" s="12">
        <f t="shared" si="31"/>
        <v>0.20998522002361042</v>
      </c>
      <c r="T143" s="12">
        <f t="shared" si="32"/>
        <v>5.2729831541013822E-2</v>
      </c>
      <c r="U143" s="12">
        <f t="shared" si="33"/>
        <v>2.1743179877088219E-2</v>
      </c>
      <c r="V143" s="12">
        <f t="shared" si="34"/>
        <v>0</v>
      </c>
      <c r="W143" s="12">
        <f t="shared" si="35"/>
        <v>1.450442418347538</v>
      </c>
      <c r="X143" s="12">
        <f t="shared" si="36"/>
        <v>5.607742298839696E-4</v>
      </c>
      <c r="Y143" s="12">
        <f t="shared" si="37"/>
        <v>9.3979069024536059E-3</v>
      </c>
      <c r="Z143" s="12">
        <f t="shared" si="38"/>
        <v>2.9688644512656571E-3</v>
      </c>
      <c r="AA143" s="12">
        <f t="shared" si="26"/>
        <v>0</v>
      </c>
      <c r="AB143" s="12">
        <f t="shared" si="27"/>
        <v>0</v>
      </c>
      <c r="AC143" s="12">
        <f t="shared" si="39"/>
        <v>-0.20998522002361042</v>
      </c>
      <c r="AD143" s="12">
        <f t="shared" si="28"/>
        <v>-91.609200425057935</v>
      </c>
    </row>
    <row r="144" spans="1:30" x14ac:dyDescent="0.25">
      <c r="A144" s="26">
        <f t="shared" si="40"/>
        <v>750</v>
      </c>
      <c r="B144" s="12">
        <f t="shared" si="10"/>
        <v>4712.3889803846896</v>
      </c>
      <c r="C144" s="13">
        <f t="shared" si="11"/>
        <v>65.508739084398783</v>
      </c>
      <c r="D144" s="13">
        <f t="shared" si="12"/>
        <v>0.99956358947621027</v>
      </c>
      <c r="E144" s="13">
        <f t="shared" si="13"/>
        <v>0.22826352458896215</v>
      </c>
      <c r="F144" s="13">
        <f t="shared" si="14"/>
        <v>0.21698409800361024</v>
      </c>
      <c r="G144" s="13">
        <f t="shared" si="15"/>
        <v>1.3865502303842533E-2</v>
      </c>
      <c r="H144" s="13">
        <f t="shared" si="16"/>
        <v>2.357088616990256E-3</v>
      </c>
      <c r="I144" s="13">
        <f t="shared" si="17"/>
        <v>0</v>
      </c>
      <c r="J144" s="13">
        <f t="shared" si="18"/>
        <v>19.002963358320685</v>
      </c>
      <c r="K144" s="13">
        <f t="shared" si="19"/>
        <v>1.5677863040314606E-6</v>
      </c>
      <c r="L144" s="13">
        <f t="shared" si="20"/>
        <v>0.99999614077561161</v>
      </c>
      <c r="M144" s="13">
        <f t="shared" si="21"/>
        <v>1.0069448564698715E-2</v>
      </c>
      <c r="N144" s="13">
        <f t="shared" si="22"/>
        <v>4.0680786797656754E-4</v>
      </c>
      <c r="O144" s="13">
        <f t="shared" si="30"/>
        <v>4.3943217442410061E-5</v>
      </c>
      <c r="P144" s="13">
        <f t="shared" si="23"/>
        <v>0</v>
      </c>
      <c r="Q144" s="13">
        <f t="shared" si="24"/>
        <v>0</v>
      </c>
      <c r="R144" s="27">
        <f t="shared" si="25"/>
        <v>46.304561900123602</v>
      </c>
      <c r="S144" s="12">
        <f t="shared" si="31"/>
        <v>0.22451325507383516</v>
      </c>
      <c r="T144" s="12">
        <f t="shared" si="32"/>
        <v>5.6488506948250937E-2</v>
      </c>
      <c r="U144" s="12">
        <f t="shared" si="33"/>
        <v>2.3295721036540266E-2</v>
      </c>
      <c r="V144" s="12">
        <f t="shared" si="34"/>
        <v>0</v>
      </c>
      <c r="W144" s="12">
        <f t="shared" si="35"/>
        <v>1.4583962310700298</v>
      </c>
      <c r="X144" s="12">
        <f t="shared" si="36"/>
        <v>6.0082952269999634E-4</v>
      </c>
      <c r="Y144" s="12">
        <f t="shared" si="37"/>
        <v>1.0069147115340557E-2</v>
      </c>
      <c r="Z144" s="12">
        <f t="shared" si="38"/>
        <v>3.1809248150020566E-3</v>
      </c>
      <c r="AA144" s="12">
        <f t="shared" si="26"/>
        <v>0</v>
      </c>
      <c r="AB144" s="12">
        <f t="shared" si="27"/>
        <v>0</v>
      </c>
      <c r="AC144" s="12">
        <f t="shared" si="39"/>
        <v>-0.22451325507383516</v>
      </c>
      <c r="AD144" s="12">
        <f t="shared" si="28"/>
        <v>-92.645909519046427</v>
      </c>
    </row>
    <row r="145" spans="1:30" x14ac:dyDescent="0.25">
      <c r="A145" s="26">
        <f t="shared" si="40"/>
        <v>800</v>
      </c>
      <c r="B145" s="12">
        <f t="shared" si="10"/>
        <v>5026.5482457436692</v>
      </c>
      <c r="C145" s="13">
        <f t="shared" si="11"/>
        <v>65.508739084398783</v>
      </c>
      <c r="D145" s="13">
        <f t="shared" si="12"/>
        <v>0.9995034618040437</v>
      </c>
      <c r="E145" s="13">
        <f t="shared" si="13"/>
        <v>0.24348107588176002</v>
      </c>
      <c r="F145" s="13">
        <f t="shared" si="14"/>
        <v>0.24604776317464064</v>
      </c>
      <c r="G145" s="13">
        <f t="shared" si="15"/>
        <v>1.5772395390529523E-2</v>
      </c>
      <c r="H145" s="13">
        <f t="shared" si="16"/>
        <v>2.6817428010780802E-3</v>
      </c>
      <c r="I145" s="13">
        <f t="shared" si="17"/>
        <v>0</v>
      </c>
      <c r="J145" s="13">
        <f t="shared" si="18"/>
        <v>19.556916569058011</v>
      </c>
      <c r="K145" s="13">
        <f t="shared" si="19"/>
        <v>1.7837923727958858E-6</v>
      </c>
      <c r="L145" s="13">
        <f t="shared" si="20"/>
        <v>0.99999560906025131</v>
      </c>
      <c r="M145" s="13">
        <f t="shared" si="21"/>
        <v>1.0740745135678629E-2</v>
      </c>
      <c r="N145" s="13">
        <f t="shared" si="22"/>
        <v>4.6285397549968976E-4</v>
      </c>
      <c r="O145" s="13">
        <f t="shared" si="30"/>
        <v>4.9997581438750109E-5</v>
      </c>
      <c r="P145" s="13">
        <f t="shared" si="23"/>
        <v>0</v>
      </c>
      <c r="Q145" s="13">
        <f t="shared" si="24"/>
        <v>0</v>
      </c>
      <c r="R145" s="27">
        <f t="shared" si="25"/>
        <v>45.723714255008417</v>
      </c>
      <c r="S145" s="12">
        <f t="shared" si="31"/>
        <v>0.23894804216678017</v>
      </c>
      <c r="T145" s="12">
        <f t="shared" si="32"/>
        <v>6.0245585243398549E-2</v>
      </c>
      <c r="U145" s="12">
        <f t="shared" si="33"/>
        <v>2.4848149880619723E-2</v>
      </c>
      <c r="V145" s="12">
        <f t="shared" si="34"/>
        <v>0</v>
      </c>
      <c r="W145" s="12">
        <f t="shared" si="35"/>
        <v>1.4653675867864668</v>
      </c>
      <c r="X145" s="12">
        <f t="shared" si="36"/>
        <v>6.4088481358804913E-4</v>
      </c>
      <c r="Y145" s="12">
        <f t="shared" si="37"/>
        <v>1.0740379290633539E-2</v>
      </c>
      <c r="Z145" s="12">
        <f t="shared" si="38"/>
        <v>3.3929848926480622E-3</v>
      </c>
      <c r="AA145" s="12">
        <f t="shared" si="26"/>
        <v>0</v>
      </c>
      <c r="AB145" s="12">
        <f t="shared" si="27"/>
        <v>0</v>
      </c>
      <c r="AC145" s="12">
        <f t="shared" si="39"/>
        <v>-0.23894804216678017</v>
      </c>
      <c r="AD145" s="12">
        <f t="shared" si="28"/>
        <v>-93.621082724591119</v>
      </c>
    </row>
    <row r="146" spans="1:30" x14ac:dyDescent="0.25">
      <c r="A146" s="26">
        <f t="shared" si="40"/>
        <v>850</v>
      </c>
      <c r="B146" s="12">
        <f t="shared" si="10"/>
        <v>5340.7075111026479</v>
      </c>
      <c r="C146" s="13">
        <f t="shared" si="11"/>
        <v>65.508739084398783</v>
      </c>
      <c r="D146" s="13">
        <f t="shared" si="12"/>
        <v>0.99943945492722119</v>
      </c>
      <c r="E146" s="13">
        <f t="shared" si="13"/>
        <v>0.2586986238816934</v>
      </c>
      <c r="F146" s="13">
        <f t="shared" si="14"/>
        <v>0.27677428167413554</v>
      </c>
      <c r="G146" s="13">
        <f t="shared" si="15"/>
        <v>1.7801394214127277E-2</v>
      </c>
      <c r="H146" s="13">
        <f t="shared" si="16"/>
        <v>3.0273157499993378E-3</v>
      </c>
      <c r="I146" s="13">
        <f t="shared" si="17"/>
        <v>0</v>
      </c>
      <c r="J146" s="13">
        <f t="shared" si="18"/>
        <v>20.078000143768648</v>
      </c>
      <c r="K146" s="13">
        <f t="shared" si="19"/>
        <v>2.0137343033470488E-6</v>
      </c>
      <c r="L146" s="13">
        <f t="shared" si="20"/>
        <v>0.99999504304067444</v>
      </c>
      <c r="M146" s="13">
        <f t="shared" si="21"/>
        <v>1.1412041706658542E-2</v>
      </c>
      <c r="N146" s="13">
        <f t="shared" si="22"/>
        <v>5.2251516885824811E-4</v>
      </c>
      <c r="O146" s="13">
        <f t="shared" si="30"/>
        <v>5.6442540291584685E-5</v>
      </c>
      <c r="P146" s="13">
        <f t="shared" si="23"/>
        <v>0</v>
      </c>
      <c r="Q146" s="13">
        <f t="shared" si="24"/>
        <v>0</v>
      </c>
      <c r="R146" s="27">
        <f t="shared" si="25"/>
        <v>45.17421239747668</v>
      </c>
      <c r="S146" s="12">
        <f t="shared" si="31"/>
        <v>0.25328468669739573</v>
      </c>
      <c r="T146" s="12">
        <f t="shared" si="32"/>
        <v>6.4000961447644736E-2</v>
      </c>
      <c r="U146" s="12">
        <f t="shared" si="33"/>
        <v>2.6400458939545277E-2</v>
      </c>
      <c r="V146" s="12">
        <f t="shared" si="34"/>
        <v>0</v>
      </c>
      <c r="W146" s="12">
        <f t="shared" si="35"/>
        <v>1.4715273587209363</v>
      </c>
      <c r="X146" s="12">
        <f t="shared" si="36"/>
        <v>6.8094010241959678E-4</v>
      </c>
      <c r="Y146" s="12">
        <f t="shared" si="37"/>
        <v>1.1411602892713842E-2</v>
      </c>
      <c r="Z146" s="12">
        <f t="shared" si="38"/>
        <v>3.6050446651318311E-3</v>
      </c>
      <c r="AA146" s="12">
        <f t="shared" si="26"/>
        <v>0</v>
      </c>
      <c r="AB146" s="12">
        <f t="shared" si="27"/>
        <v>0</v>
      </c>
      <c r="AC146" s="12">
        <f t="shared" si="39"/>
        <v>-0.25328468669739573</v>
      </c>
      <c r="AD146" s="12">
        <f t="shared" si="28"/>
        <v>-94.54423632709323</v>
      </c>
    </row>
    <row r="147" spans="1:30" x14ac:dyDescent="0.25">
      <c r="A147" s="26">
        <f t="shared" si="40"/>
        <v>900</v>
      </c>
      <c r="B147" s="12">
        <f t="shared" si="10"/>
        <v>5654.8667764616275</v>
      </c>
      <c r="C147" s="13">
        <f t="shared" si="11"/>
        <v>65.508739084398783</v>
      </c>
      <c r="D147" s="13">
        <f t="shared" si="12"/>
        <v>0.99937156884574274</v>
      </c>
      <c r="E147" s="13">
        <f t="shared" si="13"/>
        <v>0.27391616838295835</v>
      </c>
      <c r="F147" s="13">
        <f t="shared" si="14"/>
        <v>0.30912722079695648</v>
      </c>
      <c r="G147" s="13">
        <f t="shared" si="15"/>
        <v>1.9952327313075866E-2</v>
      </c>
      <c r="H147" s="13">
        <f t="shared" si="16"/>
        <v>3.39380246858494E-3</v>
      </c>
      <c r="I147" s="13">
        <f t="shared" si="17"/>
        <v>0</v>
      </c>
      <c r="J147" s="13">
        <f t="shared" si="18"/>
        <v>20.569861426510478</v>
      </c>
      <c r="K147" s="13">
        <f t="shared" si="19"/>
        <v>2.2576120965068302E-6</v>
      </c>
      <c r="L147" s="13">
        <f t="shared" si="20"/>
        <v>0.99999444271688065</v>
      </c>
      <c r="M147" s="13">
        <f t="shared" si="21"/>
        <v>1.2083338277638458E-2</v>
      </c>
      <c r="N147" s="13">
        <f t="shared" si="22"/>
        <v>5.8579129956129168E-4</v>
      </c>
      <c r="O147" s="13">
        <f t="shared" si="30"/>
        <v>6.3278092257768888E-5</v>
      </c>
      <c r="P147" s="13">
        <f t="shared" si="23"/>
        <v>0</v>
      </c>
      <c r="Q147" s="13">
        <f t="shared" si="24"/>
        <v>0</v>
      </c>
      <c r="R147" s="27">
        <f t="shared" si="25"/>
        <v>44.652445239869095</v>
      </c>
      <c r="S147" s="12">
        <f t="shared" si="31"/>
        <v>0.26751851937329074</v>
      </c>
      <c r="T147" s="12">
        <f t="shared" si="32"/>
        <v>6.7754530869298335E-2</v>
      </c>
      <c r="U147" s="12">
        <f t="shared" si="33"/>
        <v>2.7952640746997451E-2</v>
      </c>
      <c r="V147" s="12">
        <f t="shared" si="34"/>
        <v>0</v>
      </c>
      <c r="W147" s="12">
        <f t="shared" si="35"/>
        <v>1.4770090783420156</v>
      </c>
      <c r="X147" s="12">
        <f t="shared" si="36"/>
        <v>7.209953890661081E-4</v>
      </c>
      <c r="Y147" s="12">
        <f t="shared" si="37"/>
        <v>1.2082817386005503E-2</v>
      </c>
      <c r="Z147" s="12">
        <f t="shared" si="38"/>
        <v>3.8171041133816864E-3</v>
      </c>
      <c r="AA147" s="12">
        <f t="shared" si="26"/>
        <v>0</v>
      </c>
      <c r="AB147" s="12">
        <f t="shared" si="27"/>
        <v>0</v>
      </c>
      <c r="AC147" s="12">
        <f t="shared" si="39"/>
        <v>-0.26751851937329074</v>
      </c>
      <c r="AD147" s="12">
        <f t="shared" si="28"/>
        <v>-95.422759979781432</v>
      </c>
    </row>
    <row r="148" spans="1:30" x14ac:dyDescent="0.25">
      <c r="A148" s="26">
        <f t="shared" si="40"/>
        <v>950</v>
      </c>
      <c r="B148" s="12">
        <f t="shared" si="10"/>
        <v>5969.0260418206071</v>
      </c>
      <c r="C148" s="13">
        <f t="shared" si="11"/>
        <v>65.508739084398783</v>
      </c>
      <c r="D148" s="13">
        <f t="shared" si="12"/>
        <v>0.99929980355960846</v>
      </c>
      <c r="E148" s="13">
        <f t="shared" si="13"/>
        <v>0.28913370917975084</v>
      </c>
      <c r="F148" s="13">
        <f t="shared" si="14"/>
        <v>0.34306887175070272</v>
      </c>
      <c r="G148" s="13">
        <f t="shared" si="15"/>
        <v>2.22250131258326E-2</v>
      </c>
      <c r="H148" s="13">
        <f t="shared" si="16"/>
        <v>3.7811976603770829E-3</v>
      </c>
      <c r="I148" s="13">
        <f t="shared" si="17"/>
        <v>0</v>
      </c>
      <c r="J148" s="13">
        <f t="shared" si="18"/>
        <v>21.035577741754583</v>
      </c>
      <c r="K148" s="13">
        <f t="shared" si="19"/>
        <v>2.5154257491727242E-6</v>
      </c>
      <c r="L148" s="13">
        <f t="shared" si="20"/>
        <v>0.99999380808887006</v>
      </c>
      <c r="M148" s="13">
        <f t="shared" si="21"/>
        <v>1.2754634848618373E-2</v>
      </c>
      <c r="N148" s="13">
        <f t="shared" si="22"/>
        <v>6.5268221012767537E-4</v>
      </c>
      <c r="O148" s="13">
        <f t="shared" si="30"/>
        <v>7.0504235497109756E-5</v>
      </c>
      <c r="P148" s="13">
        <f t="shared" si="23"/>
        <v>0</v>
      </c>
      <c r="Q148" s="13">
        <f t="shared" si="24"/>
        <v>0</v>
      </c>
      <c r="R148" s="27">
        <f t="shared" si="25"/>
        <v>44.155372979808334</v>
      </c>
      <c r="S148" s="12">
        <f t="shared" si="31"/>
        <v>0.28164510176765484</v>
      </c>
      <c r="T148" s="12">
        <f t="shared" si="32"/>
        <v>7.150618912102101E-2</v>
      </c>
      <c r="U148" s="12">
        <f t="shared" si="33"/>
        <v>2.9504687840333436E-2</v>
      </c>
      <c r="V148" s="12">
        <f t="shared" si="34"/>
        <v>0</v>
      </c>
      <c r="W148" s="12">
        <f t="shared" si="35"/>
        <v>1.4819185810984177</v>
      </c>
      <c r="X148" s="12">
        <f t="shared" si="36"/>
        <v>7.6105067339905168E-4</v>
      </c>
      <c r="Y148" s="12">
        <f t="shared" si="37"/>
        <v>1.2754022234977959E-2</v>
      </c>
      <c r="Z148" s="12">
        <f t="shared" si="38"/>
        <v>4.0291632183261251E-3</v>
      </c>
      <c r="AA148" s="12">
        <f t="shared" si="26"/>
        <v>0</v>
      </c>
      <c r="AB148" s="12">
        <f t="shared" si="27"/>
        <v>0</v>
      </c>
      <c r="AC148" s="12">
        <f t="shared" si="39"/>
        <v>-0.28164510176765484</v>
      </c>
      <c r="AD148" s="12">
        <f t="shared" si="28"/>
        <v>-96.262469680814107</v>
      </c>
    </row>
    <row r="149" spans="1:30" x14ac:dyDescent="0.25">
      <c r="A149" s="26">
        <f t="shared" si="40"/>
        <v>1000</v>
      </c>
      <c r="B149" s="12">
        <f t="shared" si="10"/>
        <v>6283.1853071795858</v>
      </c>
      <c r="C149" s="13">
        <f t="shared" si="11"/>
        <v>65.508739084398783</v>
      </c>
      <c r="D149" s="13">
        <f t="shared" si="12"/>
        <v>0.99922415906881823</v>
      </c>
      <c r="E149" s="13">
        <f t="shared" si="13"/>
        <v>0.30435124606626668</v>
      </c>
      <c r="F149" s="13">
        <f t="shared" si="14"/>
        <v>0.37856038188886654</v>
      </c>
      <c r="G149" s="13">
        <f t="shared" si="15"/>
        <v>2.4619260041663163E-2</v>
      </c>
      <c r="H149" s="13">
        <f t="shared" si="16"/>
        <v>4.1894957278849057E-3</v>
      </c>
      <c r="I149" s="13">
        <f t="shared" si="17"/>
        <v>0</v>
      </c>
      <c r="J149" s="13">
        <f t="shared" si="18"/>
        <v>21.477768314770543</v>
      </c>
      <c r="K149" s="13">
        <f t="shared" si="19"/>
        <v>2.7871752581751478E-6</v>
      </c>
      <c r="L149" s="13">
        <f t="shared" si="20"/>
        <v>0.99999313915664279</v>
      </c>
      <c r="M149" s="13">
        <f t="shared" si="21"/>
        <v>1.3425931419598285E-2</v>
      </c>
      <c r="N149" s="13">
        <f t="shared" si="22"/>
        <v>7.2318773408494986E-4</v>
      </c>
      <c r="O149" s="13">
        <f t="shared" si="30"/>
        <v>7.812096805693819E-5</v>
      </c>
      <c r="P149" s="13">
        <f t="shared" si="23"/>
        <v>0</v>
      </c>
      <c r="Q149" s="13">
        <f t="shared" si="24"/>
        <v>0</v>
      </c>
      <c r="R149" s="27">
        <f t="shared" si="25"/>
        <v>43.680415047631534</v>
      </c>
      <c r="S149" s="12">
        <f t="shared" si="31"/>
        <v>0.29566023070706665</v>
      </c>
      <c r="T149" s="12">
        <f t="shared" si="32"/>
        <v>7.5255832136932072E-2</v>
      </c>
      <c r="U149" s="12">
        <f t="shared" si="33"/>
        <v>3.1056592760801777E-2</v>
      </c>
      <c r="V149" s="12">
        <f t="shared" si="34"/>
        <v>0</v>
      </c>
      <c r="W149" s="12">
        <f t="shared" si="35"/>
        <v>1.486340816273062</v>
      </c>
      <c r="X149" s="12">
        <f t="shared" si="36"/>
        <v>8.0110595528989611E-4</v>
      </c>
      <c r="Y149" s="12">
        <f t="shared" si="37"/>
        <v>1.3425216904148732E-2</v>
      </c>
      <c r="Z149" s="12">
        <f t="shared" si="38"/>
        <v>4.2412219608938305E-3</v>
      </c>
      <c r="AA149" s="12">
        <f t="shared" si="26"/>
        <v>0</v>
      </c>
      <c r="AB149" s="12">
        <f t="shared" si="27"/>
        <v>0</v>
      </c>
      <c r="AC149" s="12">
        <f t="shared" si="39"/>
        <v>-0.29566023070706665</v>
      </c>
      <c r="AD149" s="12">
        <f t="shared" si="28"/>
        <v>-97.06799819958735</v>
      </c>
    </row>
    <row r="150" spans="1:30" x14ac:dyDescent="0.25">
      <c r="A150" s="26">
        <f>A149+500</f>
        <v>1500</v>
      </c>
      <c r="B150" s="12">
        <f t="shared" si="10"/>
        <v>9424.7779607693792</v>
      </c>
      <c r="C150" s="13">
        <f t="shared" si="11"/>
        <v>65.508739084398783</v>
      </c>
      <c r="D150" s="13">
        <f t="shared" si="12"/>
        <v>0.99825435790484107</v>
      </c>
      <c r="E150" s="13">
        <f t="shared" si="13"/>
        <v>0.45652635458933061</v>
      </c>
      <c r="F150" s="13">
        <f t="shared" si="14"/>
        <v>0.80961123806232049</v>
      </c>
      <c r="G150" s="13">
        <f t="shared" si="15"/>
        <v>5.5198365361643915E-2</v>
      </c>
      <c r="H150" s="13">
        <f t="shared" si="16"/>
        <v>9.4206884611254937E-3</v>
      </c>
      <c r="I150" s="13">
        <f t="shared" si="17"/>
        <v>0</v>
      </c>
      <c r="J150" s="13">
        <f t="shared" si="18"/>
        <v>24.98239086692346</v>
      </c>
      <c r="K150" s="13">
        <f t="shared" si="19"/>
        <v>6.2711418171597355E-6</v>
      </c>
      <c r="L150" s="13">
        <f t="shared" si="20"/>
        <v>0.99998456310244621</v>
      </c>
      <c r="M150" s="13">
        <f t="shared" si="21"/>
        <v>2.013889712939743E-2</v>
      </c>
      <c r="N150" s="13">
        <f t="shared" si="22"/>
        <v>1.6270036612226759E-3</v>
      </c>
      <c r="O150" s="13">
        <f t="shared" si="30"/>
        <v>1.7577020204726055E-4</v>
      </c>
      <c r="P150" s="13">
        <f t="shared" si="23"/>
        <v>0</v>
      </c>
      <c r="Q150" s="13">
        <f t="shared" si="24"/>
        <v>0</v>
      </c>
      <c r="R150" s="27">
        <f t="shared" si="25"/>
        <v>39.779546988230692</v>
      </c>
      <c r="S150" s="12">
        <f t="shared" si="31"/>
        <v>0.4289284105946326</v>
      </c>
      <c r="T150" s="12">
        <f t="shared" si="32"/>
        <v>0.11261879320339879</v>
      </c>
      <c r="U150" s="12">
        <f t="shared" si="33"/>
        <v>4.6566184742942211E-2</v>
      </c>
      <c r="V150" s="12">
        <f t="shared" si="34"/>
        <v>0</v>
      </c>
      <c r="W150" s="12">
        <f t="shared" si="35"/>
        <v>1.5144182122125185</v>
      </c>
      <c r="X150" s="12">
        <f t="shared" si="36"/>
        <v>1.2016586116060583E-3</v>
      </c>
      <c r="Y150" s="12">
        <f t="shared" si="37"/>
        <v>2.0136485940332158E-2</v>
      </c>
      <c r="Z150" s="12">
        <f t="shared" si="38"/>
        <v>6.3617852603138148E-3</v>
      </c>
      <c r="AA150" s="12">
        <f t="shared" si="26"/>
        <v>0</v>
      </c>
      <c r="AB150" s="12">
        <f t="shared" si="27"/>
        <v>0</v>
      </c>
      <c r="AC150" s="12">
        <f t="shared" si="39"/>
        <v>-0.4289284105946326</v>
      </c>
      <c r="AD150" s="12">
        <f t="shared" si="28"/>
        <v>-103.81202129069392</v>
      </c>
    </row>
    <row r="151" spans="1:30" x14ac:dyDescent="0.25">
      <c r="A151" s="26">
        <f t="shared" ref="A151:A167" si="41">A150+500</f>
        <v>2000</v>
      </c>
      <c r="B151" s="12">
        <f t="shared" si="10"/>
        <v>12566.370614359172</v>
      </c>
      <c r="C151" s="13">
        <f t="shared" si="11"/>
        <v>65.508739084398783</v>
      </c>
      <c r="D151" s="13">
        <f t="shared" si="12"/>
        <v>0.99689663627527292</v>
      </c>
      <c r="E151" s="13">
        <f t="shared" si="13"/>
        <v>0.60870084570031113</v>
      </c>
      <c r="F151" s="13">
        <f t="shared" si="14"/>
        <v>1.3491612562290238</v>
      </c>
      <c r="G151" s="13">
        <f t="shared" si="15"/>
        <v>9.765058594687083E-2</v>
      </c>
      <c r="H151" s="13">
        <f t="shared" si="16"/>
        <v>1.6733788545346715E-2</v>
      </c>
      <c r="I151" s="13">
        <f t="shared" si="17"/>
        <v>0</v>
      </c>
      <c r="J151" s="13">
        <f t="shared" si="18"/>
        <v>27.475128544544599</v>
      </c>
      <c r="K151" s="13">
        <f t="shared" si="19"/>
        <v>1.114869030293887E-5</v>
      </c>
      <c r="L151" s="13">
        <f t="shared" si="20"/>
        <v>0.99997255662657103</v>
      </c>
      <c r="M151" s="13">
        <f t="shared" si="21"/>
        <v>2.6851862839196571E-2</v>
      </c>
      <c r="N151" s="13">
        <f t="shared" si="22"/>
        <v>2.8920311165696955E-3</v>
      </c>
      <c r="O151" s="13">
        <f t="shared" si="30"/>
        <v>3.1247544113036953E-4</v>
      </c>
      <c r="P151" s="13">
        <f t="shared" si="23"/>
        <v>0</v>
      </c>
      <c r="Q151" s="13">
        <f t="shared" si="24"/>
        <v>0</v>
      </c>
      <c r="R151" s="27">
        <f t="shared" si="25"/>
        <v>36.795618002869375</v>
      </c>
      <c r="S151" s="12">
        <f t="shared" si="31"/>
        <v>0.5481740845628299</v>
      </c>
      <c r="T151" s="12">
        <f t="shared" si="32"/>
        <v>0.14966877809032958</v>
      </c>
      <c r="U151" s="12">
        <f t="shared" si="33"/>
        <v>6.2053391914246858E-2</v>
      </c>
      <c r="V151" s="12">
        <f t="shared" si="34"/>
        <v>0</v>
      </c>
      <c r="W151" s="12">
        <f t="shared" si="35"/>
        <v>1.5284931372563557</v>
      </c>
      <c r="X151" s="12">
        <f t="shared" si="36"/>
        <v>1.6022108823283701E-3</v>
      </c>
      <c r="Y151" s="12">
        <f t="shared" si="37"/>
        <v>2.6846148425193977E-2</v>
      </c>
      <c r="Z151" s="12">
        <f t="shared" si="38"/>
        <v>8.4822913453831677E-3</v>
      </c>
      <c r="AA151" s="12">
        <f t="shared" si="26"/>
        <v>0</v>
      </c>
      <c r="AB151" s="12">
        <f t="shared" si="27"/>
        <v>0</v>
      </c>
      <c r="AC151" s="12">
        <f t="shared" si="39"/>
        <v>-0.5481740845628299</v>
      </c>
      <c r="AD151" s="12">
        <f t="shared" si="28"/>
        <v>-108.96945090986729</v>
      </c>
    </row>
    <row r="152" spans="1:30" x14ac:dyDescent="0.25">
      <c r="A152" s="26">
        <f t="shared" si="41"/>
        <v>2500</v>
      </c>
      <c r="B152" s="12">
        <f t="shared" si="10"/>
        <v>15707.963267948966</v>
      </c>
      <c r="C152" s="13">
        <f t="shared" si="11"/>
        <v>65.508739084398783</v>
      </c>
      <c r="D152" s="13">
        <f t="shared" si="12"/>
        <v>0.99515099418011399</v>
      </c>
      <c r="E152" s="13">
        <f t="shared" si="13"/>
        <v>0.76087451359518077</v>
      </c>
      <c r="F152" s="13">
        <f t="shared" si="14"/>
        <v>1.9569366683821077</v>
      </c>
      <c r="G152" s="13">
        <f t="shared" si="15"/>
        <v>0.15162926719815298</v>
      </c>
      <c r="H152" s="13">
        <f t="shared" si="16"/>
        <v>2.6118287134478911E-2</v>
      </c>
      <c r="I152" s="13">
        <f t="shared" si="17"/>
        <v>0</v>
      </c>
      <c r="J152" s="13">
        <f t="shared" si="18"/>
        <v>29.410531667261782</v>
      </c>
      <c r="K152" s="13">
        <f t="shared" si="19"/>
        <v>1.7419816020653224E-5</v>
      </c>
      <c r="L152" s="13">
        <f t="shared" si="20"/>
        <v>0.99995711972901724</v>
      </c>
      <c r="M152" s="13">
        <f t="shared" si="21"/>
        <v>3.3564828548995715E-2</v>
      </c>
      <c r="N152" s="13">
        <f t="shared" si="22"/>
        <v>4.517955571266251E-3</v>
      </c>
      <c r="O152" s="13">
        <f t="shared" si="30"/>
        <v>4.8823299719982587E-4</v>
      </c>
      <c r="P152" s="13">
        <f t="shared" si="23"/>
        <v>0</v>
      </c>
      <c r="Q152" s="13">
        <f t="shared" si="24"/>
        <v>0</v>
      </c>
      <c r="R152" s="27">
        <f t="shared" si="25"/>
        <v>34.313994694703048</v>
      </c>
      <c r="S152" s="12">
        <f t="shared" si="31"/>
        <v>0.65276844100579445</v>
      </c>
      <c r="T152" s="12">
        <f t="shared" si="32"/>
        <v>0.1863095240711648</v>
      </c>
      <c r="U152" s="12">
        <f t="shared" si="33"/>
        <v>7.7510852983006737E-2</v>
      </c>
      <c r="V152" s="12">
        <f t="shared" si="34"/>
        <v>0</v>
      </c>
      <c r="W152" s="12">
        <f t="shared" si="35"/>
        <v>1.5369465073640547</v>
      </c>
      <c r="X152" s="12">
        <f t="shared" si="36"/>
        <v>2.0027626389267032E-3</v>
      </c>
      <c r="Y152" s="12">
        <f t="shared" si="37"/>
        <v>3.3553670086874807E-2</v>
      </c>
      <c r="Z152" s="12">
        <f t="shared" si="38"/>
        <v>1.0602721149454075E-2</v>
      </c>
      <c r="AA152" s="12">
        <f t="shared" si="26"/>
        <v>0</v>
      </c>
      <c r="AB152" s="12">
        <f t="shared" si="27"/>
        <v>0</v>
      </c>
      <c r="AC152" s="12">
        <f t="shared" si="39"/>
        <v>-0.65276844100579445</v>
      </c>
      <c r="AD152" s="12">
        <f t="shared" si="28"/>
        <v>-112.99035542649236</v>
      </c>
    </row>
    <row r="153" spans="1:30" x14ac:dyDescent="0.25">
      <c r="A153" s="26">
        <f t="shared" si="41"/>
        <v>3000</v>
      </c>
      <c r="B153" s="12">
        <f t="shared" si="10"/>
        <v>18849.555921538758</v>
      </c>
      <c r="C153" s="13">
        <f t="shared" si="11"/>
        <v>65.508739084398783</v>
      </c>
      <c r="D153" s="13">
        <f t="shared" si="12"/>
        <v>0.99301743161936407</v>
      </c>
      <c r="E153" s="13">
        <f t="shared" si="13"/>
        <v>0.91304715246991131</v>
      </c>
      <c r="F153" s="13">
        <f t="shared" si="14"/>
        <v>2.6000903651174379</v>
      </c>
      <c r="G153" s="13">
        <f t="shared" si="15"/>
        <v>0.21670490932776207</v>
      </c>
      <c r="H153" s="13">
        <f t="shared" si="16"/>
        <v>3.7560759162184258E-2</v>
      </c>
      <c r="I153" s="13">
        <f t="shared" si="17"/>
        <v>0</v>
      </c>
      <c r="J153" s="13">
        <f t="shared" si="18"/>
        <v>30.992636400087704</v>
      </c>
      <c r="K153" s="13">
        <f t="shared" si="19"/>
        <v>2.5084512935448831E-5</v>
      </c>
      <c r="L153" s="13">
        <f t="shared" si="20"/>
        <v>0.99993825240978484</v>
      </c>
      <c r="M153" s="13">
        <f t="shared" si="21"/>
        <v>4.0277794258794859E-2</v>
      </c>
      <c r="N153" s="13">
        <f t="shared" si="22"/>
        <v>6.5043730786989613E-3</v>
      </c>
      <c r="O153" s="13">
        <f t="shared" si="30"/>
        <v>7.0303812897309274E-4</v>
      </c>
      <c r="P153" s="13">
        <f t="shared" si="23"/>
        <v>0</v>
      </c>
      <c r="Q153" s="13">
        <f t="shared" si="24"/>
        <v>0</v>
      </c>
      <c r="R153" s="27">
        <f t="shared" si="25"/>
        <v>32.163045491962976</v>
      </c>
      <c r="S153" s="12">
        <f t="shared" si="31"/>
        <v>0.74346705260200419</v>
      </c>
      <c r="T153" s="12">
        <f t="shared" si="32"/>
        <v>0.22245125611784028</v>
      </c>
      <c r="U153" s="12">
        <f t="shared" si="33"/>
        <v>9.2931291712581507E-2</v>
      </c>
      <c r="V153" s="12">
        <f t="shared" si="34"/>
        <v>0</v>
      </c>
      <c r="W153" s="12">
        <f t="shared" si="35"/>
        <v>1.542584852022151</v>
      </c>
      <c r="X153" s="12">
        <f t="shared" si="36"/>
        <v>2.4033137528719187E-3</v>
      </c>
      <c r="Y153" s="12">
        <f t="shared" si="37"/>
        <v>4.0258517718876827E-2</v>
      </c>
      <c r="Z153" s="12">
        <f t="shared" si="38"/>
        <v>1.2723055609994231E-2</v>
      </c>
      <c r="AA153" s="12">
        <f t="shared" si="26"/>
        <v>0</v>
      </c>
      <c r="AB153" s="12">
        <f t="shared" si="27"/>
        <v>0</v>
      </c>
      <c r="AC153" s="12">
        <f t="shared" si="39"/>
        <v>-0.74346705260200419</v>
      </c>
      <c r="AD153" s="12">
        <f t="shared" si="28"/>
        <v>-116.08435723863403</v>
      </c>
    </row>
    <row r="154" spans="1:30" x14ac:dyDescent="0.25">
      <c r="A154" s="26">
        <f t="shared" si="41"/>
        <v>3500</v>
      </c>
      <c r="B154" s="12">
        <f t="shared" si="10"/>
        <v>21991.148575128551</v>
      </c>
      <c r="C154" s="13">
        <f t="shared" si="11"/>
        <v>65.508739084398783</v>
      </c>
      <c r="D154" s="13">
        <f t="shared" si="12"/>
        <v>0.99049594859302337</v>
      </c>
      <c r="E154" s="13">
        <f t="shared" si="13"/>
        <v>1.0652185565204753</v>
      </c>
      <c r="F154" s="13">
        <f t="shared" si="14"/>
        <v>3.2546902907127628</v>
      </c>
      <c r="G154" s="13">
        <f t="shared" si="15"/>
        <v>0.29237606361704516</v>
      </c>
      <c r="H154" s="13">
        <f t="shared" si="16"/>
        <v>5.1044926881997979E-2</v>
      </c>
      <c r="I154" s="13">
        <f t="shared" si="17"/>
        <v>0</v>
      </c>
      <c r="J154" s="13">
        <f t="shared" si="18"/>
        <v>32.330655309982056</v>
      </c>
      <c r="K154" s="13">
        <f t="shared" si="19"/>
        <v>3.4142773666703259E-5</v>
      </c>
      <c r="L154" s="13">
        <f t="shared" si="20"/>
        <v>0.99991595466887384</v>
      </c>
      <c r="M154" s="13">
        <f t="shared" si="21"/>
        <v>4.6990759968593997E-2</v>
      </c>
      <c r="N154" s="13">
        <f t="shared" si="22"/>
        <v>8.8507906091769804E-3</v>
      </c>
      <c r="O154" s="13">
        <f t="shared" si="30"/>
        <v>9.5688504241802177E-4</v>
      </c>
      <c r="P154" s="13">
        <f t="shared" si="23"/>
        <v>0</v>
      </c>
      <c r="Q154" s="13">
        <f t="shared" si="24"/>
        <v>0</v>
      </c>
      <c r="R154" s="27">
        <f t="shared" si="25"/>
        <v>30.256972655777748</v>
      </c>
      <c r="S154" s="12">
        <f t="shared" si="31"/>
        <v>0.82173089599239257</v>
      </c>
      <c r="T154" s="12">
        <f t="shared" si="32"/>
        <v>0.25801181725276751</v>
      </c>
      <c r="U154" s="12">
        <f t="shared" si="33"/>
        <v>0.10830753704156505</v>
      </c>
      <c r="V154" s="12">
        <f t="shared" si="34"/>
        <v>0</v>
      </c>
      <c r="W154" s="12">
        <f t="shared" si="35"/>
        <v>1.5466133607708843</v>
      </c>
      <c r="X154" s="12">
        <f t="shared" si="36"/>
        <v>2.8038640956361141E-3</v>
      </c>
      <c r="Y154" s="12">
        <f t="shared" si="37"/>
        <v>4.696015944391748E-2</v>
      </c>
      <c r="Z154" s="12">
        <f t="shared" si="38"/>
        <v>1.4843275669614665E-2</v>
      </c>
      <c r="AA154" s="12">
        <f t="shared" si="26"/>
        <v>0</v>
      </c>
      <c r="AB154" s="12">
        <f t="shared" si="27"/>
        <v>0</v>
      </c>
      <c r="AC154" s="12">
        <f t="shared" si="39"/>
        <v>-0.82173089599239257</v>
      </c>
      <c r="AD154" s="12">
        <f t="shared" si="28"/>
        <v>-118.40930296198502</v>
      </c>
    </row>
    <row r="155" spans="1:30" x14ac:dyDescent="0.25">
      <c r="A155" s="26">
        <f t="shared" si="41"/>
        <v>4000</v>
      </c>
      <c r="B155" s="12">
        <f t="shared" si="10"/>
        <v>25132.741228718343</v>
      </c>
      <c r="C155" s="13">
        <f t="shared" si="11"/>
        <v>65.508739084398783</v>
      </c>
      <c r="D155" s="13">
        <f t="shared" si="12"/>
        <v>0.98758654510109178</v>
      </c>
      <c r="E155" s="13">
        <f t="shared" si="13"/>
        <v>1.2173885199428449</v>
      </c>
      <c r="F155" s="13">
        <f t="shared" si="14"/>
        <v>3.9046913685797282</v>
      </c>
      <c r="G155" s="13">
        <f t="shared" si="15"/>
        <v>0.37808140461474987</v>
      </c>
      <c r="H155" s="13">
        <f t="shared" si="16"/>
        <v>6.6551736230251943E-2</v>
      </c>
      <c r="I155" s="13">
        <f t="shared" si="17"/>
        <v>0</v>
      </c>
      <c r="J155" s="13">
        <f t="shared" si="18"/>
        <v>33.489899053781194</v>
      </c>
      <c r="K155" s="13">
        <f t="shared" si="19"/>
        <v>4.4594589495754985E-5</v>
      </c>
      <c r="L155" s="13">
        <f t="shared" si="20"/>
        <v>0.99989022650628412</v>
      </c>
      <c r="M155" s="13">
        <f t="shared" si="21"/>
        <v>5.3703725678393141E-2</v>
      </c>
      <c r="N155" s="13">
        <f t="shared" si="22"/>
        <v>1.1556626457752722E-2</v>
      </c>
      <c r="O155" s="13">
        <f t="shared" si="30"/>
        <v>1.2497668912731436E-3</v>
      </c>
      <c r="P155" s="13">
        <f t="shared" si="23"/>
        <v>0</v>
      </c>
      <c r="Q155" s="13">
        <f t="shared" si="24"/>
        <v>0</v>
      </c>
      <c r="R155" s="27">
        <f t="shared" si="25"/>
        <v>28.545930814944338</v>
      </c>
      <c r="S155" s="12">
        <f t="shared" si="31"/>
        <v>0.88924302822172441</v>
      </c>
      <c r="T155" s="12">
        <f t="shared" si="32"/>
        <v>0.29291752436318452</v>
      </c>
      <c r="U155" s="12">
        <f t="shared" si="33"/>
        <v>0.12363254246391191</v>
      </c>
      <c r="V155" s="12">
        <f t="shared" si="34"/>
        <v>0</v>
      </c>
      <c r="W155" s="12">
        <f t="shared" si="35"/>
        <v>1.5496352647794158</v>
      </c>
      <c r="X155" s="12">
        <f t="shared" si="36"/>
        <v>3.2044135386928743E-3</v>
      </c>
      <c r="Y155" s="12">
        <f t="shared" si="37"/>
        <v>5.3658064976133978E-2</v>
      </c>
      <c r="Z155" s="12">
        <f t="shared" si="38"/>
        <v>1.6963362277096904E-2</v>
      </c>
      <c r="AA155" s="12">
        <f t="shared" si="26"/>
        <v>0</v>
      </c>
      <c r="AB155" s="12">
        <f t="shared" si="27"/>
        <v>0</v>
      </c>
      <c r="AC155" s="12">
        <f t="shared" si="39"/>
        <v>-0.88924302822172441</v>
      </c>
      <c r="AD155" s="12">
        <f t="shared" si="28"/>
        <v>-120.10078124633286</v>
      </c>
    </row>
    <row r="156" spans="1:30" x14ac:dyDescent="0.25">
      <c r="A156" s="26">
        <f t="shared" si="41"/>
        <v>4500</v>
      </c>
      <c r="B156" s="12">
        <f t="shared" si="10"/>
        <v>28274.333882308139</v>
      </c>
      <c r="C156" s="13">
        <f t="shared" si="11"/>
        <v>65.508739084398783</v>
      </c>
      <c r="D156" s="13">
        <f t="shared" si="12"/>
        <v>0.98428922114356932</v>
      </c>
      <c r="E156" s="13">
        <f t="shared" si="13"/>
        <v>1.3695568369329925</v>
      </c>
      <c r="F156" s="13">
        <f t="shared" si="14"/>
        <v>4.5400764817014876</v>
      </c>
      <c r="G156" s="13">
        <f t="shared" si="15"/>
        <v>0.47321241223349531</v>
      </c>
      <c r="H156" s="13">
        <f t="shared" si="16"/>
        <v>8.4059445268009098E-2</v>
      </c>
      <c r="I156" s="13">
        <f t="shared" si="17"/>
        <v>0</v>
      </c>
      <c r="J156" s="13">
        <f t="shared" si="18"/>
        <v>34.512541391340562</v>
      </c>
      <c r="K156" s="13">
        <f t="shared" si="19"/>
        <v>5.6439950360134948E-5</v>
      </c>
      <c r="L156" s="13">
        <f t="shared" si="20"/>
        <v>0.9998610679220159</v>
      </c>
      <c r="M156" s="13">
        <f t="shared" si="21"/>
        <v>6.0416691388192292E-2</v>
      </c>
      <c r="N156" s="13">
        <f t="shared" si="22"/>
        <v>1.462121072456031E-2</v>
      </c>
      <c r="O156" s="13">
        <f t="shared" si="30"/>
        <v>1.581675777665552E-3</v>
      </c>
      <c r="P156" s="13">
        <f t="shared" si="23"/>
        <v>0</v>
      </c>
      <c r="Q156" s="13">
        <f t="shared" si="24"/>
        <v>0</v>
      </c>
      <c r="R156" s="27">
        <f t="shared" si="25"/>
        <v>26.997133742405651</v>
      </c>
      <c r="S156" s="12">
        <f t="shared" si="31"/>
        <v>0.94763539591569446</v>
      </c>
      <c r="T156" s="12">
        <f t="shared" si="32"/>
        <v>0.32710373973420054</v>
      </c>
      <c r="U156" s="12">
        <f t="shared" si="33"/>
        <v>0.13889940454275845</v>
      </c>
      <c r="V156" s="12">
        <f t="shared" si="34"/>
        <v>0</v>
      </c>
      <c r="W156" s="12">
        <f t="shared" si="35"/>
        <v>1.5519859046578413</v>
      </c>
      <c r="X156" s="12">
        <f t="shared" si="36"/>
        <v>3.6049619535175144E-3</v>
      </c>
      <c r="Y156" s="12">
        <f t="shared" si="37"/>
        <v>6.0351705881316851E-2</v>
      </c>
      <c r="Z156" s="12">
        <f t="shared" si="38"/>
        <v>1.9083296388419255E-2</v>
      </c>
      <c r="AA156" s="12">
        <f t="shared" si="26"/>
        <v>0</v>
      </c>
      <c r="AB156" s="12">
        <f t="shared" si="27"/>
        <v>0</v>
      </c>
      <c r="AC156" s="12">
        <f t="shared" si="39"/>
        <v>-0.94763539591569446</v>
      </c>
      <c r="AD156" s="12">
        <f t="shared" si="28"/>
        <v>-121.27557697787942</v>
      </c>
    </row>
    <row r="157" spans="1:30" x14ac:dyDescent="0.25">
      <c r="A157" s="26">
        <f t="shared" si="41"/>
        <v>5000</v>
      </c>
      <c r="B157" s="12">
        <f t="shared" si="10"/>
        <v>31415.926535897932</v>
      </c>
      <c r="C157" s="13">
        <f t="shared" si="11"/>
        <v>65.508739084398783</v>
      </c>
      <c r="D157" s="13">
        <f t="shared" si="12"/>
        <v>0.98060397672045585</v>
      </c>
      <c r="E157" s="13">
        <f t="shared" si="13"/>
        <v>1.5217233016868896</v>
      </c>
      <c r="F157" s="13">
        <f t="shared" si="14"/>
        <v>5.1550638719508415</v>
      </c>
      <c r="G157" s="13">
        <f t="shared" si="15"/>
        <v>0.57712612523795537</v>
      </c>
      <c r="H157" s="13">
        <f t="shared" si="16"/>
        <v>0.10354372385324064</v>
      </c>
      <c r="I157" s="13">
        <f t="shared" si="17"/>
        <v>0</v>
      </c>
      <c r="J157" s="13">
        <f t="shared" si="18"/>
        <v>35.427399259349919</v>
      </c>
      <c r="K157" s="13">
        <f t="shared" si="19"/>
        <v>6.9678844857444061E-5</v>
      </c>
      <c r="L157" s="13">
        <f t="shared" si="20"/>
        <v>0.99982847891606907</v>
      </c>
      <c r="M157" s="13">
        <f t="shared" si="21"/>
        <v>6.712965709799143E-2</v>
      </c>
      <c r="N157" s="13">
        <f t="shared" si="22"/>
        <v>1.8043785866755847E-2</v>
      </c>
      <c r="O157" s="13">
        <f t="shared" si="30"/>
        <v>1.9526027528166624E-3</v>
      </c>
      <c r="P157" s="13">
        <f t="shared" si="23"/>
        <v>0</v>
      </c>
      <c r="Q157" s="13">
        <f t="shared" si="24"/>
        <v>0</v>
      </c>
      <c r="R157" s="27">
        <f t="shared" si="25"/>
        <v>25.586879734724789</v>
      </c>
      <c r="S157" s="12">
        <f t="shared" si="31"/>
        <v>0.9983653711995607</v>
      </c>
      <c r="T157" s="12">
        <f t="shared" si="32"/>
        <v>0.36051516460515709</v>
      </c>
      <c r="U157" s="12">
        <f t="shared" si="33"/>
        <v>0.15410138044276553</v>
      </c>
      <c r="V157" s="12">
        <f t="shared" si="34"/>
        <v>0</v>
      </c>
      <c r="W157" s="12">
        <f t="shared" si="35"/>
        <v>1.5538665675065433</v>
      </c>
      <c r="X157" s="12">
        <f t="shared" si="36"/>
        <v>4.0055092115873292E-3</v>
      </c>
      <c r="Y157" s="12">
        <f t="shared" si="37"/>
        <v>6.7040555834856061E-2</v>
      </c>
      <c r="Z157" s="12">
        <f t="shared" si="38"/>
        <v>2.120305896778216E-2</v>
      </c>
      <c r="AA157" s="12">
        <f t="shared" si="26"/>
        <v>0</v>
      </c>
      <c r="AB157" s="12">
        <f t="shared" si="27"/>
        <v>0</v>
      </c>
      <c r="AC157" s="12">
        <f t="shared" si="39"/>
        <v>-0.9983653711995607</v>
      </c>
      <c r="AD157" s="12">
        <f t="shared" si="28"/>
        <v>-122.03224779729564</v>
      </c>
    </row>
    <row r="158" spans="1:30" x14ac:dyDescent="0.25">
      <c r="A158" s="26">
        <f t="shared" si="41"/>
        <v>5500</v>
      </c>
      <c r="B158" s="12">
        <f t="shared" si="10"/>
        <v>34557.519189487721</v>
      </c>
      <c r="C158" s="13">
        <f t="shared" si="11"/>
        <v>65.508739084398783</v>
      </c>
      <c r="D158" s="13">
        <f t="shared" si="12"/>
        <v>0.97653081183175161</v>
      </c>
      <c r="E158" s="13">
        <f t="shared" si="13"/>
        <v>1.673887708400509</v>
      </c>
      <c r="F158" s="13">
        <f t="shared" si="14"/>
        <v>5.7466921031448273</v>
      </c>
      <c r="G158" s="13">
        <f t="shared" si="15"/>
        <v>0.6891574886432551</v>
      </c>
      <c r="H158" s="13">
        <f t="shared" si="16"/>
        <v>0.1249777636031623</v>
      </c>
      <c r="I158" s="13">
        <f t="shared" si="17"/>
        <v>0</v>
      </c>
      <c r="J158" s="13">
        <f t="shared" si="18"/>
        <v>36.255036944927376</v>
      </c>
      <c r="K158" s="13">
        <f t="shared" si="19"/>
        <v>8.4311260245375976E-5</v>
      </c>
      <c r="L158" s="13">
        <f t="shared" si="20"/>
        <v>0.99979245948844353</v>
      </c>
      <c r="M158" s="13">
        <f t="shared" si="21"/>
        <v>7.3842622807790567E-2</v>
      </c>
      <c r="N158" s="13">
        <f t="shared" si="22"/>
        <v>2.1823507321172386E-2</v>
      </c>
      <c r="O158" s="13">
        <f t="shared" si="30"/>
        <v>2.3625378178473173E-3</v>
      </c>
      <c r="P158" s="13">
        <f t="shared" si="23"/>
        <v>0</v>
      </c>
      <c r="Q158" s="13">
        <f t="shared" si="24"/>
        <v>0</v>
      </c>
      <c r="R158" s="27">
        <f t="shared" si="25"/>
        <v>24.296874932173733</v>
      </c>
      <c r="S158" s="12">
        <f t="shared" si="31"/>
        <v>1.0426789481489938</v>
      </c>
      <c r="T158" s="12">
        <f t="shared" si="32"/>
        <v>0.39310587462334429</v>
      </c>
      <c r="U158" s="12">
        <f t="shared" si="33"/>
        <v>0.16923190437814659</v>
      </c>
      <c r="V158" s="12">
        <f t="shared" si="34"/>
        <v>0</v>
      </c>
      <c r="W158" s="12">
        <f t="shared" si="35"/>
        <v>1.5554053813446678</v>
      </c>
      <c r="X158" s="12">
        <f t="shared" si="36"/>
        <v>4.4060551843818404E-3</v>
      </c>
      <c r="Y158" s="12">
        <f t="shared" si="37"/>
        <v>7.3724090877087797E-2</v>
      </c>
      <c r="Z158" s="12">
        <f t="shared" si="38"/>
        <v>2.3322630988632447E-2</v>
      </c>
      <c r="AA158" s="12">
        <f t="shared" si="26"/>
        <v>0</v>
      </c>
      <c r="AB158" s="12">
        <f t="shared" si="27"/>
        <v>0</v>
      </c>
      <c r="AC158" s="12">
        <f t="shared" si="39"/>
        <v>-1.0426789481489938</v>
      </c>
      <c r="AD158" s="12">
        <f t="shared" si="28"/>
        <v>-122.45250144636987</v>
      </c>
    </row>
    <row r="159" spans="1:30" x14ac:dyDescent="0.25">
      <c r="A159" s="26">
        <f t="shared" si="41"/>
        <v>6000</v>
      </c>
      <c r="B159" s="12">
        <f t="shared" si="10"/>
        <v>37699.111843077517</v>
      </c>
      <c r="C159" s="13">
        <f t="shared" si="11"/>
        <v>65.508739084398783</v>
      </c>
      <c r="D159" s="13">
        <f t="shared" si="12"/>
        <v>0.97206972647745649</v>
      </c>
      <c r="E159" s="13">
        <f t="shared" si="13"/>
        <v>1.8260498512698236</v>
      </c>
      <c r="F159" s="13">
        <f t="shared" si="14"/>
        <v>6.3138061033774928</v>
      </c>
      <c r="G159" s="13">
        <f t="shared" si="15"/>
        <v>0.80863090177259522</v>
      </c>
      <c r="H159" s="13">
        <f t="shared" si="16"/>
        <v>0.14833239713024818</v>
      </c>
      <c r="I159" s="13">
        <f t="shared" si="17"/>
        <v>0</v>
      </c>
      <c r="J159" s="13">
        <f t="shared" si="18"/>
        <v>37.01064385643047</v>
      </c>
      <c r="K159" s="13">
        <f t="shared" si="19"/>
        <v>1.0033718243595686E-4</v>
      </c>
      <c r="L159" s="13">
        <f t="shared" si="20"/>
        <v>0.99975300963913938</v>
      </c>
      <c r="M159" s="13">
        <f t="shared" si="21"/>
        <v>8.0555588517589719E-2</v>
      </c>
      <c r="N159" s="13">
        <f t="shared" si="22"/>
        <v>2.5959444196596307E-2</v>
      </c>
      <c r="O159" s="13">
        <f t="shared" ref="O159:O190" si="42">20*LOG10(SQRT(1+($B$84*B159)^2))</f>
        <v>2.8114699246763572E-3</v>
      </c>
      <c r="P159" s="13">
        <f t="shared" si="23"/>
        <v>0</v>
      </c>
      <c r="Q159" s="13">
        <f t="shared" si="24"/>
        <v>0</v>
      </c>
      <c r="R159" s="27">
        <f t="shared" si="25"/>
        <v>23.112381172189952</v>
      </c>
      <c r="S159" s="12">
        <f t="shared" ref="S159:S190" si="43">ATAN2(D159,E159)</f>
        <v>1.0816167942057415</v>
      </c>
      <c r="T159" s="12">
        <f t="shared" ref="T159:T190" si="44">ATAN($B$76*B159)</f>
        <v>0.42483912736528956</v>
      </c>
      <c r="U159" s="12">
        <f t="shared" ref="U159:U190" si="45">ATAN($B$77*B159)</f>
        <v>0.18428460288688325</v>
      </c>
      <c r="V159" s="12">
        <f t="shared" ref="V159:V190" si="46">ATAN($B$78*B159)</f>
        <v>0</v>
      </c>
      <c r="W159" s="12">
        <f t="shared" ref="W159:W190" si="47">ATAN($B$79*B159)</f>
        <v>1.5566877822056571</v>
      </c>
      <c r="X159" s="12">
        <f t="shared" ref="X159:X190" si="48">ATAN($B$80*B159)</f>
        <v>4.8065997433830443E-3</v>
      </c>
      <c r="Y159" s="12">
        <f t="shared" ref="Y159:Y190" si="49">ATAN2(L159,M159)</f>
        <v>8.0401789665736245E-2</v>
      </c>
      <c r="Z159" s="12">
        <f t="shared" si="38"/>
        <v>2.5441993434686283E-2</v>
      </c>
      <c r="AA159" s="12">
        <f t="shared" si="26"/>
        <v>0</v>
      </c>
      <c r="AB159" s="12">
        <f t="shared" si="27"/>
        <v>0</v>
      </c>
      <c r="AC159" s="12">
        <f t="shared" ref="AC159:AC190" si="50">IF(-S159&gt;0,-S159-2*PI(),-S159)</f>
        <v>-1.0816167942057415</v>
      </c>
      <c r="AD159" s="12">
        <f t="shared" si="28"/>
        <v>-122.60329829216565</v>
      </c>
    </row>
    <row r="160" spans="1:30" x14ac:dyDescent="0.25">
      <c r="A160" s="26">
        <f t="shared" si="41"/>
        <v>6500</v>
      </c>
      <c r="B160" s="12">
        <f t="shared" ref="B160:B221" si="51">A160*2*PI()</f>
        <v>40840.704496667313</v>
      </c>
      <c r="C160" s="13">
        <f t="shared" ref="C160:C221" si="52">20*LOG10($B$72)</f>
        <v>65.508739084398783</v>
      </c>
      <c r="D160" s="13">
        <f t="shared" ref="D160:D221" si="53">1-$B$74*B160*B160</f>
        <v>0.96722072065757048</v>
      </c>
      <c r="E160" s="13">
        <f t="shared" ref="E160:E221" si="54">B160*$B$75-$B$73*B160*B160*B160</f>
        <v>1.9782095244908044</v>
      </c>
      <c r="F160" s="13">
        <f t="shared" ref="F160:F221" si="55">20*LOG10(SQRT(D160^2+E160^2))</f>
        <v>6.85636854589238</v>
      </c>
      <c r="G160" s="13">
        <f t="shared" ref="G160:G221" si="56">20*LOG10(SQRT(1+($B$76*B160)^2))</f>
        <v>0.9348706702396834</v>
      </c>
      <c r="H160" s="13">
        <f t="shared" ref="H160:H221" si="57">20*LOG10(SQRT(1+($B$77*B160)^2))</f>
        <v>0.17357622547466645</v>
      </c>
      <c r="I160" s="13">
        <f t="shared" ref="I160:I221" si="58">20*LOG10(SQRT(1+($B$78*B160)^2))</f>
        <v>0</v>
      </c>
      <c r="J160" s="13">
        <f t="shared" ref="J160:J221" si="59">20*LOG10(SQRT(1+($B$79*B160)^2))</f>
        <v>37.705758108388231</v>
      </c>
      <c r="K160" s="13">
        <f t="shared" ref="K160:K221" si="60">20*LOG10(SQRT(1+($B$80*B160)^2))</f>
        <v>1.17756596003288E-4</v>
      </c>
      <c r="L160" s="13">
        <f t="shared" ref="L160:L221" si="61">1-$B$82*B160^2</f>
        <v>0.99971012936815662</v>
      </c>
      <c r="M160" s="13">
        <f t="shared" ref="M160:M221" si="62">B160*$B$83-$B$81*B160^3</f>
        <v>8.726855422738887E-2</v>
      </c>
      <c r="N160" s="13">
        <f t="shared" ref="N160:N221" si="63">20*LOG10(SQRT(L160^2+M160^2))</f>
        <v>3.0450580034469883E-2</v>
      </c>
      <c r="O160" s="13">
        <f t="shared" si="42"/>
        <v>3.2993869770144594E-3</v>
      </c>
      <c r="P160" s="13">
        <f t="shared" ref="P160:P221" si="64">20*LOG10(SQRT(1+($B$62*B160)^2))</f>
        <v>0</v>
      </c>
      <c r="Q160" s="13">
        <f t="shared" ref="Q160:Q221" si="65">20*LOG10(SQRT(1+($B$63*B160)^2))</f>
        <v>0</v>
      </c>
      <c r="R160" s="27">
        <f t="shared" ref="R160:R221" si="66">C160-F160+G160+H160+I160-J160-K160-N160-O160+P160-Q160</f>
        <v>22.021191602225034</v>
      </c>
      <c r="S160" s="12">
        <f t="shared" si="43"/>
        <v>1.116037859244756</v>
      </c>
      <c r="T160" s="12">
        <f t="shared" si="44"/>
        <v>0.45568697880467057</v>
      </c>
      <c r="U160" s="12">
        <f t="shared" si="45"/>
        <v>0.19925330885570983</v>
      </c>
      <c r="V160" s="12">
        <f t="shared" si="46"/>
        <v>0</v>
      </c>
      <c r="W160" s="12">
        <f t="shared" si="47"/>
        <v>1.5577729270439669</v>
      </c>
      <c r="X160" s="12">
        <f t="shared" si="48"/>
        <v>5.2071427600756609E-3</v>
      </c>
      <c r="Y160" s="12">
        <f t="shared" si="49"/>
        <v>8.7073133725151547E-2</v>
      </c>
      <c r="Z160" s="12">
        <f t="shared" ref="Z160:Z221" si="67">ATAN($B$84*B160)</f>
        <v>2.7561127300950797E-2</v>
      </c>
      <c r="AA160" s="12">
        <f t="shared" ref="AA160:AA221" si="68">ATAN($B$62*B160)</f>
        <v>0</v>
      </c>
      <c r="AB160" s="12">
        <f t="shared" ref="AB160:AB221" si="69">ATAN($B$63*B160)</f>
        <v>0</v>
      </c>
      <c r="AC160" s="12">
        <f t="shared" si="50"/>
        <v>-1.116037859244756</v>
      </c>
      <c r="AD160" s="12">
        <f t="shared" ref="AD160:AD221" si="70">(180/PI())*(AC160+T160+U160+V160-W160-X160-Y160-Z160+AA160-AB160)</f>
        <v>-122.53916560274719</v>
      </c>
    </row>
    <row r="161" spans="1:30" x14ac:dyDescent="0.25">
      <c r="A161" s="26">
        <f t="shared" si="41"/>
        <v>7000</v>
      </c>
      <c r="B161" s="12">
        <f t="shared" si="51"/>
        <v>43982.297150257102</v>
      </c>
      <c r="C161" s="13">
        <f t="shared" si="52"/>
        <v>65.508739084398783</v>
      </c>
      <c r="D161" s="13">
        <f t="shared" si="53"/>
        <v>0.96198379437209358</v>
      </c>
      <c r="E161" s="13">
        <f t="shared" si="54"/>
        <v>2.1303665222594241</v>
      </c>
      <c r="F161" s="13">
        <f t="shared" si="55"/>
        <v>7.3750070272329982</v>
      </c>
      <c r="G161" s="13">
        <f t="shared" si="56"/>
        <v>1.0672101638483884</v>
      </c>
      <c r="H161" s="13">
        <f t="shared" si="57"/>
        <v>0.20067575261117787</v>
      </c>
      <c r="I161" s="13">
        <f t="shared" si="58"/>
        <v>0</v>
      </c>
      <c r="J161" s="13">
        <f t="shared" si="59"/>
        <v>38.349350309646489</v>
      </c>
      <c r="K161" s="13">
        <f t="shared" si="60"/>
        <v>1.3656948418164835E-4</v>
      </c>
      <c r="L161" s="13">
        <f t="shared" si="61"/>
        <v>0.99966381867549525</v>
      </c>
      <c r="M161" s="13">
        <f t="shared" si="62"/>
        <v>9.3981519937187993E-2</v>
      </c>
      <c r="N161" s="13">
        <f t="shared" si="63"/>
        <v>3.5295813636741183E-2</v>
      </c>
      <c r="O161" s="13">
        <f t="shared" si="42"/>
        <v>3.8262758314434871E-3</v>
      </c>
      <c r="P161" s="13">
        <f t="shared" si="64"/>
        <v>0</v>
      </c>
      <c r="Q161" s="13">
        <f t="shared" si="65"/>
        <v>0</v>
      </c>
      <c r="R161" s="27">
        <f t="shared" si="66"/>
        <v>21.013009005026497</v>
      </c>
      <c r="S161" s="12">
        <f t="shared" si="43"/>
        <v>1.1466476203829181</v>
      </c>
      <c r="T161" s="12">
        <f t="shared" si="44"/>
        <v>0.48562974883732646</v>
      </c>
      <c r="U161" s="12">
        <f t="shared" si="45"/>
        <v>0.21413207423501249</v>
      </c>
      <c r="V161" s="12">
        <f t="shared" si="46"/>
        <v>0</v>
      </c>
      <c r="W161" s="12">
        <f t="shared" si="47"/>
        <v>1.5587030757016842</v>
      </c>
      <c r="X161" s="12">
        <f t="shared" si="48"/>
        <v>5.6076841059473749E-3</v>
      </c>
      <c r="Y161" s="12">
        <f t="shared" si="49"/>
        <v>9.3737607692051791E-2</v>
      </c>
      <c r="Z161" s="12">
        <f t="shared" si="67"/>
        <v>2.9680013594744151E-2</v>
      </c>
      <c r="AA161" s="12">
        <f t="shared" si="68"/>
        <v>0</v>
      </c>
      <c r="AB161" s="12">
        <f t="shared" si="69"/>
        <v>0</v>
      </c>
      <c r="AC161" s="12">
        <f t="shared" si="50"/>
        <v>-1.1466476203829181</v>
      </c>
      <c r="AD161" s="12">
        <f t="shared" si="70"/>
        <v>-122.30438331139264</v>
      </c>
    </row>
    <row r="162" spans="1:30" x14ac:dyDescent="0.25">
      <c r="A162" s="26">
        <f t="shared" si="41"/>
        <v>7500</v>
      </c>
      <c r="B162" s="12">
        <f t="shared" si="51"/>
        <v>47123.889803846898</v>
      </c>
      <c r="C162" s="13">
        <f t="shared" si="52"/>
        <v>65.508739084398783</v>
      </c>
      <c r="D162" s="13">
        <f t="shared" si="53"/>
        <v>0.95635894762102569</v>
      </c>
      <c r="E162" s="13">
        <f t="shared" si="54"/>
        <v>2.282520638771655</v>
      </c>
      <c r="F162" s="13">
        <f t="shared" si="55"/>
        <v>7.8707226305854654</v>
      </c>
      <c r="G162" s="13">
        <f t="shared" si="56"/>
        <v>1.2049995751356049</v>
      </c>
      <c r="H162" s="13">
        <f t="shared" si="57"/>
        <v>0.22959552587996798</v>
      </c>
      <c r="I162" s="13">
        <f t="shared" si="58"/>
        <v>0</v>
      </c>
      <c r="J162" s="13">
        <f t="shared" si="59"/>
        <v>38.948532917739563</v>
      </c>
      <c r="K162" s="13">
        <f t="shared" si="60"/>
        <v>1.5677582885781339E-4</v>
      </c>
      <c r="L162" s="13">
        <f t="shared" si="61"/>
        <v>0.99961407756115528</v>
      </c>
      <c r="M162" s="13">
        <f t="shared" si="62"/>
        <v>0.10069448564698714</v>
      </c>
      <c r="N162" s="13">
        <f t="shared" si="63"/>
        <v>4.0493959959437484E-2</v>
      </c>
      <c r="O162" s="13">
        <f t="shared" si="42"/>
        <v>4.392122298606263E-3</v>
      </c>
      <c r="P162" s="13">
        <f t="shared" si="64"/>
        <v>0</v>
      </c>
      <c r="Q162" s="13">
        <f t="shared" si="65"/>
        <v>0</v>
      </c>
      <c r="R162" s="27">
        <f t="shared" si="66"/>
        <v>20.079035779002421</v>
      </c>
      <c r="S162" s="12">
        <f t="shared" si="43"/>
        <v>1.1740250998474302</v>
      </c>
      <c r="T162" s="12">
        <f t="shared" si="44"/>
        <v>0.51465537615698287</v>
      </c>
      <c r="U162" s="12">
        <f t="shared" si="45"/>
        <v>0.22891518139757022</v>
      </c>
      <c r="V162" s="12">
        <f t="shared" si="46"/>
        <v>0</v>
      </c>
      <c r="W162" s="12">
        <f t="shared" si="47"/>
        <v>1.5595092215238944</v>
      </c>
      <c r="X162" s="12">
        <f t="shared" si="48"/>
        <v>6.0082236524890932E-3</v>
      </c>
      <c r="Y162" s="12">
        <f t="shared" si="49"/>
        <v>0.10039469955748567</v>
      </c>
      <c r="Z162" s="12">
        <f t="shared" si="67"/>
        <v>3.1798633336714011E-2</v>
      </c>
      <c r="AA162" s="12">
        <f t="shared" si="68"/>
        <v>0</v>
      </c>
      <c r="AB162" s="12">
        <f t="shared" si="69"/>
        <v>0</v>
      </c>
      <c r="AC162" s="12">
        <f t="shared" si="50"/>
        <v>-1.1740250998474302</v>
      </c>
      <c r="AD162" s="12">
        <f t="shared" si="70"/>
        <v>-121.93489096293303</v>
      </c>
    </row>
    <row r="163" spans="1:30" x14ac:dyDescent="0.25">
      <c r="A163" s="26">
        <f t="shared" si="41"/>
        <v>8000</v>
      </c>
      <c r="B163" s="12">
        <f t="shared" si="51"/>
        <v>50265.482457436687</v>
      </c>
      <c r="C163" s="13">
        <f t="shared" si="52"/>
        <v>65.508739084398783</v>
      </c>
      <c r="D163" s="13">
        <f t="shared" si="53"/>
        <v>0.95034618040436702</v>
      </c>
      <c r="E163" s="13">
        <f t="shared" si="54"/>
        <v>2.4346716682234697</v>
      </c>
      <c r="F163" s="13">
        <f t="shared" si="55"/>
        <v>8.3447055214628367</v>
      </c>
      <c r="G163" s="13">
        <f t="shared" si="56"/>
        <v>1.347612254211807</v>
      </c>
      <c r="H163" s="13">
        <f t="shared" si="57"/>
        <v>0.26029828117827608</v>
      </c>
      <c r="I163" s="13">
        <f t="shared" si="58"/>
        <v>0</v>
      </c>
      <c r="J163" s="13">
        <f t="shared" si="59"/>
        <v>39.50904039263002</v>
      </c>
      <c r="K163" s="13">
        <f t="shared" si="60"/>
        <v>1.7837561058459201E-4</v>
      </c>
      <c r="L163" s="13">
        <f t="shared" si="61"/>
        <v>0.9995609060251367</v>
      </c>
      <c r="M163" s="13">
        <f t="shared" si="62"/>
        <v>0.10740745135678628</v>
      </c>
      <c r="N163" s="13">
        <f t="shared" si="63"/>
        <v>4.6043751070479463E-2</v>
      </c>
      <c r="O163" s="13">
        <f t="shared" si="42"/>
        <v>4.9969111444642007E-3</v>
      </c>
      <c r="P163" s="13">
        <f t="shared" si="64"/>
        <v>0</v>
      </c>
      <c r="Q163" s="13">
        <f t="shared" si="65"/>
        <v>0</v>
      </c>
      <c r="R163" s="27">
        <f t="shared" si="66"/>
        <v>19.211684667870486</v>
      </c>
      <c r="S163" s="12">
        <f t="shared" si="43"/>
        <v>1.1986464420129905</v>
      </c>
      <c r="T163" s="12">
        <f t="shared" si="44"/>
        <v>0.54275870053436426</v>
      </c>
      <c r="U163" s="12">
        <f t="shared" si="45"/>
        <v>0.24359715310981639</v>
      </c>
      <c r="V163" s="12">
        <f t="shared" si="46"/>
        <v>0</v>
      </c>
      <c r="W163" s="12">
        <f t="shared" si="47"/>
        <v>1.5602146111891091</v>
      </c>
      <c r="X163" s="12">
        <f t="shared" si="48"/>
        <v>6.4087612711951824E-3</v>
      </c>
      <c r="Y163" s="12">
        <f t="shared" si="49"/>
        <v>0.10704390090473985</v>
      </c>
      <c r="Z163" s="12">
        <f t="shared" si="67"/>
        <v>3.3916967561854118E-2</v>
      </c>
      <c r="AA163" s="12">
        <f t="shared" si="68"/>
        <v>0</v>
      </c>
      <c r="AB163" s="12">
        <f t="shared" si="69"/>
        <v>0</v>
      </c>
      <c r="AC163" s="12">
        <f t="shared" si="50"/>
        <v>-1.1986464420129905</v>
      </c>
      <c r="AD163" s="12">
        <f t="shared" si="70"/>
        <v>-121.45988081465994</v>
      </c>
    </row>
    <row r="164" spans="1:30" x14ac:dyDescent="0.25">
      <c r="A164" s="26">
        <f t="shared" si="41"/>
        <v>8500</v>
      </c>
      <c r="B164" s="12">
        <f t="shared" si="51"/>
        <v>53407.075111026483</v>
      </c>
      <c r="C164" s="13">
        <f t="shared" si="52"/>
        <v>65.508739084398783</v>
      </c>
      <c r="D164" s="13">
        <f t="shared" si="53"/>
        <v>0.94394549272211747</v>
      </c>
      <c r="E164" s="13">
        <f t="shared" si="54"/>
        <v>2.5868194048108393</v>
      </c>
      <c r="F164" s="13">
        <f t="shared" si="55"/>
        <v>8.7982202555265729</v>
      </c>
      <c r="G164" s="13">
        <f t="shared" si="56"/>
        <v>1.4944496613199689</v>
      </c>
      <c r="H164" s="13">
        <f t="shared" si="57"/>
        <v>0.29274509175225272</v>
      </c>
      <c r="I164" s="13">
        <f t="shared" si="58"/>
        <v>0</v>
      </c>
      <c r="J164" s="13">
        <f t="shared" si="59"/>
        <v>40.035563640724547</v>
      </c>
      <c r="K164" s="13">
        <f t="shared" si="60"/>
        <v>2.0136880857122235E-4</v>
      </c>
      <c r="L164" s="13">
        <f t="shared" si="61"/>
        <v>0.99950430406743951</v>
      </c>
      <c r="M164" s="13">
        <f t="shared" si="62"/>
        <v>0.11412041706658543</v>
      </c>
      <c r="N164" s="13">
        <f t="shared" si="63"/>
        <v>5.1943837170103452E-2</v>
      </c>
      <c r="O164" s="13">
        <f t="shared" si="42"/>
        <v>5.6406260916766213E-3</v>
      </c>
      <c r="P164" s="13">
        <f t="shared" si="64"/>
        <v>0</v>
      </c>
      <c r="Q164" s="13">
        <f t="shared" si="65"/>
        <v>0</v>
      </c>
      <c r="R164" s="27">
        <f t="shared" si="66"/>
        <v>18.404364109149533</v>
      </c>
      <c r="S164" s="12">
        <f t="shared" si="43"/>
        <v>1.2209045694380696</v>
      </c>
      <c r="T164" s="12">
        <f t="shared" si="44"/>
        <v>0.56994070658804896</v>
      </c>
      <c r="U164" s="12">
        <f t="shared" si="45"/>
        <v>0.25817276109878134</v>
      </c>
      <c r="V164" s="12">
        <f t="shared" si="46"/>
        <v>0</v>
      </c>
      <c r="W164" s="12">
        <f t="shared" si="47"/>
        <v>1.5608370226031532</v>
      </c>
      <c r="X164" s="12">
        <f t="shared" si="48"/>
        <v>6.8092968335637227E-3</v>
      </c>
      <c r="Y164" s="12">
        <f t="shared" si="49"/>
        <v>0.11368470714292521</v>
      </c>
      <c r="Z164" s="12">
        <f t="shared" si="67"/>
        <v>3.6034997320519055E-2</v>
      </c>
      <c r="AA164" s="12">
        <f t="shared" si="68"/>
        <v>0</v>
      </c>
      <c r="AB164" s="12">
        <f t="shared" si="69"/>
        <v>0</v>
      </c>
      <c r="AC164" s="12">
        <f t="shared" si="50"/>
        <v>-1.2209045694380696</v>
      </c>
      <c r="AD164" s="12">
        <f t="shared" si="70"/>
        <v>-120.9030974092822</v>
      </c>
    </row>
    <row r="165" spans="1:30" x14ac:dyDescent="0.25">
      <c r="A165" s="26">
        <f t="shared" si="41"/>
        <v>9000</v>
      </c>
      <c r="B165" s="12">
        <f t="shared" si="51"/>
        <v>56548.667764616279</v>
      </c>
      <c r="C165" s="13">
        <f t="shared" si="52"/>
        <v>65.508739084398783</v>
      </c>
      <c r="D165" s="13">
        <f t="shared" si="53"/>
        <v>0.93715688457427704</v>
      </c>
      <c r="E165" s="13">
        <f t="shared" si="54"/>
        <v>2.7389636427297379</v>
      </c>
      <c r="F165" s="13">
        <f t="shared" si="55"/>
        <v>9.2325359904534494</v>
      </c>
      <c r="G165" s="13">
        <f t="shared" si="56"/>
        <v>1.6449450279594022</v>
      </c>
      <c r="H165" s="13">
        <f t="shared" si="57"/>
        <v>0.32689551944566952</v>
      </c>
      <c r="I165" s="13">
        <f t="shared" si="58"/>
        <v>0</v>
      </c>
      <c r="J165" s="13">
        <f t="shared" si="59"/>
        <v>40.531988783054985</v>
      </c>
      <c r="K165" s="13">
        <f t="shared" si="60"/>
        <v>2.2575540068341332E-4</v>
      </c>
      <c r="L165" s="13">
        <f t="shared" si="61"/>
        <v>0.9994442716880636</v>
      </c>
      <c r="M165" s="13">
        <f t="shared" si="62"/>
        <v>0.12083338277638458</v>
      </c>
      <c r="N165" s="13">
        <f t="shared" si="63"/>
        <v>5.8192787672190785E-2</v>
      </c>
      <c r="O165" s="13">
        <f t="shared" si="42"/>
        <v>6.3232498210514364E-3</v>
      </c>
      <c r="P165" s="13">
        <f t="shared" si="64"/>
        <v>0</v>
      </c>
      <c r="Q165" s="13">
        <f t="shared" si="65"/>
        <v>0</v>
      </c>
      <c r="R165" s="27">
        <f t="shared" si="66"/>
        <v>17.651313065401496</v>
      </c>
      <c r="S165" s="12">
        <f t="shared" si="43"/>
        <v>1.241125178557384</v>
      </c>
      <c r="T165" s="12">
        <f t="shared" si="44"/>
        <v>0.59620775812876392</v>
      </c>
      <c r="U165" s="12">
        <f t="shared" si="45"/>
        <v>0.27263703321186433</v>
      </c>
      <c r="V165" s="12">
        <f t="shared" si="46"/>
        <v>0</v>
      </c>
      <c r="W165" s="12">
        <f t="shared" si="47"/>
        <v>1.5613902836866542</v>
      </c>
      <c r="X165" s="12">
        <f t="shared" si="48"/>
        <v>7.2098302110967525E-3</v>
      </c>
      <c r="Y165" s="12">
        <f t="shared" si="49"/>
        <v>0.12031661773598505</v>
      </c>
      <c r="Z165" s="12">
        <f t="shared" si="67"/>
        <v>3.815270367943685E-2</v>
      </c>
      <c r="AA165" s="12">
        <f t="shared" si="68"/>
        <v>0</v>
      </c>
      <c r="AB165" s="12">
        <f t="shared" si="69"/>
        <v>0</v>
      </c>
      <c r="AC165" s="12">
        <f t="shared" si="50"/>
        <v>-1.241125178557384</v>
      </c>
      <c r="AD165" s="12">
        <f t="shared" si="70"/>
        <v>-120.28388455250328</v>
      </c>
    </row>
    <row r="166" spans="1:30" x14ac:dyDescent="0.25">
      <c r="A166" s="26">
        <f t="shared" si="41"/>
        <v>9500</v>
      </c>
      <c r="B166" s="12">
        <f t="shared" si="51"/>
        <v>59690.260418206068</v>
      </c>
      <c r="C166" s="13">
        <f t="shared" si="52"/>
        <v>65.508739084398783</v>
      </c>
      <c r="D166" s="13">
        <f t="shared" si="53"/>
        <v>0.92998035596084572</v>
      </c>
      <c r="E166" s="13">
        <f t="shared" si="54"/>
        <v>2.8911041761761354</v>
      </c>
      <c r="F166" s="13">
        <f t="shared" si="55"/>
        <v>9.6488853945962774</v>
      </c>
      <c r="G166" s="13">
        <f t="shared" si="56"/>
        <v>1.7985658510372007</v>
      </c>
      <c r="H166" s="13">
        <f t="shared" si="57"/>
        <v>0.36270776729256965</v>
      </c>
      <c r="I166" s="13">
        <f t="shared" si="58"/>
        <v>0</v>
      </c>
      <c r="J166" s="13">
        <f t="shared" si="59"/>
        <v>41.001571319482125</v>
      </c>
      <c r="K166" s="13">
        <f t="shared" si="60"/>
        <v>2.5153536344917516E-4</v>
      </c>
      <c r="L166" s="13">
        <f t="shared" si="61"/>
        <v>0.9993808088870092</v>
      </c>
      <c r="M166" s="13">
        <f t="shared" si="62"/>
        <v>0.12754634848618371</v>
      </c>
      <c r="N166" s="13">
        <f t="shared" si="63"/>
        <v>6.4789092344731347E-2</v>
      </c>
      <c r="O166" s="13">
        <f t="shared" si="42"/>
        <v>7.0447639730959483E-3</v>
      </c>
      <c r="P166" s="13">
        <f t="shared" si="64"/>
        <v>0</v>
      </c>
      <c r="Q166" s="13">
        <f t="shared" si="65"/>
        <v>0</v>
      </c>
      <c r="R166" s="27">
        <f t="shared" si="66"/>
        <v>16.947470596968877</v>
      </c>
      <c r="S166" s="12">
        <f t="shared" si="43"/>
        <v>1.2595795932188782</v>
      </c>
      <c r="T166" s="12">
        <f t="shared" si="44"/>
        <v>0.62157084670498497</v>
      </c>
      <c r="U166" s="12">
        <f t="shared" si="45"/>
        <v>0.28698525917988832</v>
      </c>
      <c r="V166" s="12">
        <f t="shared" si="46"/>
        <v>0</v>
      </c>
      <c r="W166" s="12">
        <f t="shared" si="47"/>
        <v>1.5618853116526608</v>
      </c>
      <c r="X166" s="12">
        <f t="shared" si="48"/>
        <v>7.6103612753005137E-3</v>
      </c>
      <c r="Y166" s="12">
        <f t="shared" si="49"/>
        <v>0.12693913642687851</v>
      </c>
      <c r="Z166" s="12">
        <f t="shared" si="67"/>
        <v>4.0270067722719446E-2</v>
      </c>
      <c r="AA166" s="12">
        <f t="shared" si="68"/>
        <v>0</v>
      </c>
      <c r="AB166" s="12">
        <f t="shared" si="69"/>
        <v>0</v>
      </c>
      <c r="AC166" s="12">
        <f t="shared" si="50"/>
        <v>-1.2595795932188782</v>
      </c>
      <c r="AD166" s="12">
        <f t="shared" si="70"/>
        <v>-119.61802405053297</v>
      </c>
    </row>
    <row r="167" spans="1:30" x14ac:dyDescent="0.25">
      <c r="A167" s="26">
        <f t="shared" si="41"/>
        <v>10000</v>
      </c>
      <c r="B167" s="12">
        <f t="shared" si="51"/>
        <v>62831.853071795864</v>
      </c>
      <c r="C167" s="13">
        <f t="shared" si="52"/>
        <v>65.508739084398783</v>
      </c>
      <c r="D167" s="13">
        <f t="shared" si="53"/>
        <v>0.92241590688182351</v>
      </c>
      <c r="E167" s="13">
        <f t="shared" si="54"/>
        <v>3.0432407993460058</v>
      </c>
      <c r="F167" s="13">
        <f t="shared" si="55"/>
        <v>10.048441760629581</v>
      </c>
      <c r="G167" s="13">
        <f t="shared" si="56"/>
        <v>1.9548153640173096</v>
      </c>
      <c r="H167" s="13">
        <f t="shared" si="57"/>
        <v>0.40013883238355052</v>
      </c>
      <c r="I167" s="13">
        <f t="shared" si="58"/>
        <v>0</v>
      </c>
      <c r="J167" s="13">
        <f t="shared" si="59"/>
        <v>41.447065590936219</v>
      </c>
      <c r="K167" s="13">
        <f t="shared" si="60"/>
        <v>2.7870867205500899E-4</v>
      </c>
      <c r="L167" s="13">
        <f t="shared" si="61"/>
        <v>0.99931391566427608</v>
      </c>
      <c r="M167" s="13">
        <f t="shared" si="62"/>
        <v>0.13425931419598286</v>
      </c>
      <c r="N167" s="13">
        <f t="shared" si="63"/>
        <v>7.1731162507514268E-2</v>
      </c>
      <c r="O167" s="13">
        <f t="shared" si="42"/>
        <v>7.8051491496656158E-3</v>
      </c>
      <c r="P167" s="13">
        <f t="shared" si="64"/>
        <v>0</v>
      </c>
      <c r="Q167" s="13">
        <f t="shared" si="65"/>
        <v>0</v>
      </c>
      <c r="R167" s="27">
        <f t="shared" si="66"/>
        <v>16.288370908904604</v>
      </c>
      <c r="S167" s="12">
        <f t="shared" si="43"/>
        <v>1.2764950324555864</v>
      </c>
      <c r="T167" s="12">
        <f t="shared" si="44"/>
        <v>0.64604487254999832</v>
      </c>
      <c r="U167" s="12">
        <f t="shared" si="45"/>
        <v>0.30121299500633258</v>
      </c>
      <c r="V167" s="12">
        <f t="shared" si="46"/>
        <v>0</v>
      </c>
      <c r="W167" s="12">
        <f t="shared" si="47"/>
        <v>1.5623308405631839</v>
      </c>
      <c r="X167" s="12">
        <f t="shared" si="48"/>
        <v>8.0108898976857072E-3</v>
      </c>
      <c r="Y167" s="12">
        <f t="shared" si="49"/>
        <v>0.13355177145670355</v>
      </c>
      <c r="Z167" s="12">
        <f t="shared" si="67"/>
        <v>4.2387070552870817E-2</v>
      </c>
      <c r="AA167" s="12">
        <f t="shared" si="68"/>
        <v>0</v>
      </c>
      <c r="AB167" s="12">
        <f t="shared" si="69"/>
        <v>0</v>
      </c>
      <c r="AC167" s="12">
        <f t="shared" si="50"/>
        <v>-1.2764950324555864</v>
      </c>
      <c r="AD167" s="12">
        <f t="shared" si="70"/>
        <v>-118.91840665582579</v>
      </c>
    </row>
    <row r="168" spans="1:30" x14ac:dyDescent="0.25">
      <c r="A168" s="26">
        <f>A167+5000</f>
        <v>15000</v>
      </c>
      <c r="B168" s="12">
        <f t="shared" si="51"/>
        <v>94247.779607693796</v>
      </c>
      <c r="C168" s="13">
        <f t="shared" si="52"/>
        <v>65.508739084398783</v>
      </c>
      <c r="D168" s="13">
        <f t="shared" si="53"/>
        <v>0.82543579048410298</v>
      </c>
      <c r="E168" s="13">
        <f t="shared" si="54"/>
        <v>4.5643466889495743</v>
      </c>
      <c r="F168" s="13">
        <f t="shared" si="55"/>
        <v>13.327333758213433</v>
      </c>
      <c r="G168" s="13">
        <f t="shared" si="56"/>
        <v>3.5776352030189735</v>
      </c>
      <c r="H168" s="13">
        <f t="shared" si="57"/>
        <v>0.85345819127495859</v>
      </c>
      <c r="I168" s="13">
        <f t="shared" si="58"/>
        <v>0</v>
      </c>
      <c r="J168" s="13">
        <f t="shared" si="59"/>
        <v>44.968717864525601</v>
      </c>
      <c r="K168" s="13">
        <f t="shared" si="60"/>
        <v>6.270693616176519E-4</v>
      </c>
      <c r="L168" s="13">
        <f t="shared" si="61"/>
        <v>0.99845631024462123</v>
      </c>
      <c r="M168" s="13">
        <f t="shared" si="62"/>
        <v>0.20138897129397429</v>
      </c>
      <c r="N168" s="13">
        <f t="shared" si="63"/>
        <v>0.15976602697003944</v>
      </c>
      <c r="O168" s="13">
        <f t="shared" si="42"/>
        <v>1.7541900779379654E-2</v>
      </c>
      <c r="P168" s="13">
        <f t="shared" si="64"/>
        <v>0</v>
      </c>
      <c r="Q168" s="13">
        <f t="shared" si="65"/>
        <v>0</v>
      </c>
      <c r="R168" s="27">
        <f t="shared" si="66"/>
        <v>11.465845858842641</v>
      </c>
      <c r="S168" s="12">
        <f t="shared" si="43"/>
        <v>1.391885767764045</v>
      </c>
      <c r="T168" s="12">
        <f t="shared" si="44"/>
        <v>0.84678269850873367</v>
      </c>
      <c r="U168" s="12">
        <f t="shared" si="45"/>
        <v>0.43607852431246996</v>
      </c>
      <c r="V168" s="12">
        <f t="shared" si="46"/>
        <v>0</v>
      </c>
      <c r="W168" s="12">
        <f t="shared" si="47"/>
        <v>1.5651525944082891</v>
      </c>
      <c r="X168" s="12">
        <f t="shared" si="48"/>
        <v>1.2016013557548579E-2</v>
      </c>
      <c r="Y168" s="12">
        <f t="shared" si="49"/>
        <v>0.1990299605362662</v>
      </c>
      <c r="Z168" s="12">
        <f t="shared" si="67"/>
        <v>6.3533089838393508E-2</v>
      </c>
      <c r="AA168" s="12">
        <f t="shared" si="68"/>
        <v>0</v>
      </c>
      <c r="AB168" s="12">
        <f t="shared" si="69"/>
        <v>0</v>
      </c>
      <c r="AC168" s="12">
        <f t="shared" si="50"/>
        <v>-1.391885767764045</v>
      </c>
      <c r="AD168" s="12">
        <f t="shared" si="70"/>
        <v>-111.65550574807361</v>
      </c>
    </row>
    <row r="169" spans="1:30" x14ac:dyDescent="0.25">
      <c r="A169" s="26">
        <f t="shared" ref="A169:A185" si="71">A168+5000</f>
        <v>20000</v>
      </c>
      <c r="B169" s="12">
        <f t="shared" si="51"/>
        <v>125663.70614359173</v>
      </c>
      <c r="C169" s="13">
        <f t="shared" si="52"/>
        <v>65.508739084398783</v>
      </c>
      <c r="D169" s="13">
        <f t="shared" si="53"/>
        <v>0.68966362752729415</v>
      </c>
      <c r="E169" s="13">
        <f t="shared" si="54"/>
        <v>6.0848351664698219</v>
      </c>
      <c r="F169" s="13">
        <f t="shared" si="55"/>
        <v>15.74041168628516</v>
      </c>
      <c r="G169" s="13">
        <f t="shared" si="56"/>
        <v>5.1507295174409196</v>
      </c>
      <c r="H169" s="13">
        <f t="shared" si="57"/>
        <v>1.4177983491294766</v>
      </c>
      <c r="I169" s="13">
        <f t="shared" si="58"/>
        <v>0</v>
      </c>
      <c r="J169" s="13">
        <f t="shared" si="59"/>
        <v>47.467432077431724</v>
      </c>
      <c r="K169" s="13">
        <f t="shared" si="60"/>
        <v>1.1147273874361208E-3</v>
      </c>
      <c r="L169" s="13">
        <f t="shared" si="61"/>
        <v>0.9972556626571043</v>
      </c>
      <c r="M169" s="13">
        <f t="shared" si="62"/>
        <v>0.26851862839196572</v>
      </c>
      <c r="N169" s="13">
        <f t="shared" si="63"/>
        <v>0.28010174959862677</v>
      </c>
      <c r="O169" s="13">
        <f t="shared" si="42"/>
        <v>3.1136783316547508E-2</v>
      </c>
      <c r="P169" s="13">
        <f t="shared" si="64"/>
        <v>0</v>
      </c>
      <c r="Q169" s="13">
        <f t="shared" si="65"/>
        <v>0</v>
      </c>
      <c r="R169" s="27">
        <f t="shared" si="66"/>
        <v>8.5570699269496906</v>
      </c>
      <c r="S169" s="12">
        <f t="shared" si="43"/>
        <v>1.4579365757841753</v>
      </c>
      <c r="T169" s="12">
        <f t="shared" si="44"/>
        <v>0.98523535047269073</v>
      </c>
      <c r="U169" s="12">
        <f t="shared" si="45"/>
        <v>0.5559570351838895</v>
      </c>
      <c r="V169" s="12">
        <f t="shared" si="46"/>
        <v>0</v>
      </c>
      <c r="W169" s="12">
        <f t="shared" si="47"/>
        <v>1.5665635078433722</v>
      </c>
      <c r="X169" s="12">
        <f t="shared" si="48"/>
        <v>1.6020751739902299E-2</v>
      </c>
      <c r="Y169" s="12">
        <f t="shared" si="49"/>
        <v>0.26301971343637126</v>
      </c>
      <c r="Z169" s="12">
        <f t="shared" si="67"/>
        <v>8.4622375464977431E-2</v>
      </c>
      <c r="AA169" s="12">
        <f t="shared" si="68"/>
        <v>0</v>
      </c>
      <c r="AB169" s="12">
        <f t="shared" si="69"/>
        <v>0</v>
      </c>
      <c r="AC169" s="12">
        <f t="shared" si="50"/>
        <v>-1.4579365757841753</v>
      </c>
      <c r="AD169" s="12">
        <f t="shared" si="70"/>
        <v>-105.82361674748455</v>
      </c>
    </row>
    <row r="170" spans="1:30" x14ac:dyDescent="0.25">
      <c r="A170" s="26">
        <f t="shared" si="71"/>
        <v>25000</v>
      </c>
      <c r="B170" s="12">
        <f t="shared" si="51"/>
        <v>157079.63267948964</v>
      </c>
      <c r="C170" s="13">
        <f t="shared" si="52"/>
        <v>65.508739084398783</v>
      </c>
      <c r="D170" s="13">
        <f t="shared" si="53"/>
        <v>0.51509941801139725</v>
      </c>
      <c r="E170" s="13">
        <f t="shared" si="54"/>
        <v>7.604500427878973</v>
      </c>
      <c r="F170" s="13">
        <f t="shared" si="55"/>
        <v>17.641294426112793</v>
      </c>
      <c r="G170" s="13">
        <f t="shared" si="56"/>
        <v>6.5830314304388402</v>
      </c>
      <c r="H170" s="13">
        <f t="shared" si="57"/>
        <v>2.0498981746709228</v>
      </c>
      <c r="I170" s="13">
        <f t="shared" si="58"/>
        <v>0</v>
      </c>
      <c r="J170" s="13">
        <f t="shared" si="59"/>
        <v>49.40560432553562</v>
      </c>
      <c r="K170" s="13">
        <f t="shared" si="60"/>
        <v>1.7416358280024802E-3</v>
      </c>
      <c r="L170" s="13">
        <f t="shared" si="61"/>
        <v>0.99571197290172553</v>
      </c>
      <c r="M170" s="13">
        <f t="shared" si="62"/>
        <v>0.33564828548995712</v>
      </c>
      <c r="N170" s="13">
        <f t="shared" si="63"/>
        <v>0.4300923769070048</v>
      </c>
      <c r="O170" s="13">
        <f t="shared" si="42"/>
        <v>4.8553617990013093E-2</v>
      </c>
      <c r="P170" s="13">
        <f t="shared" si="64"/>
        <v>0</v>
      </c>
      <c r="Q170" s="13">
        <f t="shared" si="65"/>
        <v>0</v>
      </c>
      <c r="R170" s="27">
        <f t="shared" si="66"/>
        <v>6.6143823071351084</v>
      </c>
      <c r="S170" s="12">
        <f t="shared" si="43"/>
        <v>1.5031635093108593</v>
      </c>
      <c r="T170" s="12">
        <f t="shared" si="44"/>
        <v>1.0830346193361855</v>
      </c>
      <c r="U170" s="12">
        <f t="shared" si="45"/>
        <v>0.6603491591744689</v>
      </c>
      <c r="V170" s="12">
        <f t="shared" si="46"/>
        <v>0</v>
      </c>
      <c r="W170" s="12">
        <f t="shared" si="47"/>
        <v>1.5674100643531901</v>
      </c>
      <c r="X170" s="12">
        <f t="shared" si="48"/>
        <v>2.0024976067652786E-2</v>
      </c>
      <c r="Y170" s="12">
        <f t="shared" si="49"/>
        <v>0.32513110519006128</v>
      </c>
      <c r="Z170" s="12">
        <f t="shared" si="67"/>
        <v>0.10563648800841491</v>
      </c>
      <c r="AA170" s="12">
        <f t="shared" si="68"/>
        <v>0</v>
      </c>
      <c r="AB170" s="12">
        <f t="shared" si="69"/>
        <v>0</v>
      </c>
      <c r="AC170" s="12">
        <f t="shared" si="50"/>
        <v>-1.5031635093108593</v>
      </c>
      <c r="AD170" s="12">
        <f t="shared" si="70"/>
        <v>-101.87088552992982</v>
      </c>
    </row>
    <row r="171" spans="1:30" x14ac:dyDescent="0.25">
      <c r="A171" s="26">
        <f t="shared" si="71"/>
        <v>30000</v>
      </c>
      <c r="B171" s="12">
        <f t="shared" si="51"/>
        <v>188495.55921538759</v>
      </c>
      <c r="C171" s="13">
        <f t="shared" si="52"/>
        <v>65.508739084398783</v>
      </c>
      <c r="D171" s="13">
        <f t="shared" si="53"/>
        <v>0.30174316193641182</v>
      </c>
      <c r="E171" s="13">
        <f t="shared" si="54"/>
        <v>9.1231366691492575</v>
      </c>
      <c r="F171" s="13">
        <f t="shared" si="55"/>
        <v>19.207631865171187</v>
      </c>
      <c r="G171" s="13">
        <f t="shared" si="56"/>
        <v>7.8649608707890737</v>
      </c>
      <c r="H171" s="13">
        <f t="shared" si="57"/>
        <v>2.7152081473517455</v>
      </c>
      <c r="I171" s="13">
        <f t="shared" si="58"/>
        <v>0</v>
      </c>
      <c r="J171" s="13">
        <f t="shared" si="59"/>
        <v>50.989214029986236</v>
      </c>
      <c r="K171" s="13">
        <f t="shared" si="60"/>
        <v>2.5077343814699071E-3</v>
      </c>
      <c r="L171" s="13">
        <f t="shared" si="61"/>
        <v>0.99382524097848479</v>
      </c>
      <c r="M171" s="13">
        <f t="shared" si="62"/>
        <v>0.40277794258794858</v>
      </c>
      <c r="N171" s="13">
        <f t="shared" si="63"/>
        <v>0.60667129225381888</v>
      </c>
      <c r="O171" s="13">
        <f t="shared" si="42"/>
        <v>6.9746439597083335E-2</v>
      </c>
      <c r="P171" s="13">
        <f t="shared" si="64"/>
        <v>0</v>
      </c>
      <c r="Q171" s="13">
        <f t="shared" si="65"/>
        <v>0</v>
      </c>
      <c r="R171" s="27">
        <f t="shared" si="66"/>
        <v>5.2131367411498095</v>
      </c>
      <c r="S171" s="12">
        <f t="shared" si="43"/>
        <v>1.5377338815889574</v>
      </c>
      <c r="T171" s="12">
        <f t="shared" si="44"/>
        <v>1.1545338874348852</v>
      </c>
      <c r="U171" s="12">
        <f t="shared" si="45"/>
        <v>0.75021463080218775</v>
      </c>
      <c r="V171" s="12">
        <f t="shared" si="46"/>
        <v>0</v>
      </c>
      <c r="W171" s="12">
        <f t="shared" si="47"/>
        <v>1.5679744381310943</v>
      </c>
      <c r="X171" s="12">
        <f t="shared" si="48"/>
        <v>2.4028558262556603E-2</v>
      </c>
      <c r="Y171" s="12">
        <f t="shared" si="49"/>
        <v>0.38505018575726702</v>
      </c>
      <c r="Z171" s="12">
        <f t="shared" si="67"/>
        <v>0.12655738437062122</v>
      </c>
      <c r="AA171" s="12">
        <f t="shared" si="68"/>
        <v>0</v>
      </c>
      <c r="AB171" s="12">
        <f t="shared" si="69"/>
        <v>0</v>
      </c>
      <c r="AC171" s="12">
        <f t="shared" si="50"/>
        <v>-1.5377338815889574</v>
      </c>
      <c r="AD171" s="12">
        <f t="shared" si="70"/>
        <v>-99.499617501343849</v>
      </c>
    </row>
    <row r="172" spans="1:30" x14ac:dyDescent="0.25">
      <c r="A172" s="26">
        <f t="shared" si="71"/>
        <v>35000</v>
      </c>
      <c r="B172" s="12">
        <f t="shared" si="51"/>
        <v>219911.48575128551</v>
      </c>
      <c r="C172" s="13">
        <f t="shared" si="52"/>
        <v>65.508739084398783</v>
      </c>
      <c r="D172" s="13">
        <f t="shared" si="53"/>
        <v>4.9594859302338534E-2</v>
      </c>
      <c r="E172" s="13">
        <f t="shared" si="54"/>
        <v>10.640538086252898</v>
      </c>
      <c r="F172" s="13">
        <f t="shared" si="55"/>
        <v>20.53936615751357</v>
      </c>
      <c r="G172" s="13">
        <f t="shared" si="56"/>
        <v>9.0113086229019839</v>
      </c>
      <c r="H172" s="13">
        <f t="shared" si="57"/>
        <v>3.389119233387516</v>
      </c>
      <c r="I172" s="13">
        <f t="shared" si="58"/>
        <v>0</v>
      </c>
      <c r="J172" s="13">
        <f t="shared" si="59"/>
        <v>52.328140647502025</v>
      </c>
      <c r="K172" s="13">
        <f t="shared" si="60"/>
        <v>3.4129493849642248E-3</v>
      </c>
      <c r="L172" s="13">
        <f t="shared" si="61"/>
        <v>0.99159546688738209</v>
      </c>
      <c r="M172" s="13">
        <f t="shared" si="62"/>
        <v>0.46990759968593998</v>
      </c>
      <c r="N172" s="13">
        <f t="shared" si="63"/>
        <v>0.80653439105914626</v>
      </c>
      <c r="O172" s="13">
        <f t="shared" si="42"/>
        <v>9.4659895252037413E-2</v>
      </c>
      <c r="P172" s="13">
        <f t="shared" si="64"/>
        <v>0</v>
      </c>
      <c r="Q172" s="13">
        <f t="shared" si="65"/>
        <v>0</v>
      </c>
      <c r="R172" s="27">
        <f t="shared" si="66"/>
        <v>4.1370528999765455</v>
      </c>
      <c r="S172" s="12">
        <f t="shared" si="43"/>
        <v>1.5661354252721686</v>
      </c>
      <c r="T172" s="12">
        <f t="shared" si="44"/>
        <v>1.2085755943623648</v>
      </c>
      <c r="U172" s="12">
        <f t="shared" si="45"/>
        <v>0.82721207559692511</v>
      </c>
      <c r="V172" s="12">
        <f t="shared" si="46"/>
        <v>0</v>
      </c>
      <c r="W172" s="12">
        <f t="shared" si="47"/>
        <v>1.5683775633797363</v>
      </c>
      <c r="X172" s="12">
        <f t="shared" si="48"/>
        <v>2.8031370169844368E-2</v>
      </c>
      <c r="Y172" s="12">
        <f t="shared" si="49"/>
        <v>0.44254263559929746</v>
      </c>
      <c r="Z172" s="12">
        <f t="shared" si="67"/>
        <v>0.14736750700861573</v>
      </c>
      <c r="AA172" s="12">
        <f t="shared" si="68"/>
        <v>0</v>
      </c>
      <c r="AB172" s="12">
        <f t="shared" si="69"/>
        <v>0</v>
      </c>
      <c r="AC172" s="12">
        <f t="shared" si="50"/>
        <v>-1.5661354252721686</v>
      </c>
      <c r="AD172" s="12">
        <f t="shared" si="70"/>
        <v>-98.357764273348124</v>
      </c>
    </row>
    <row r="173" spans="1:30" x14ac:dyDescent="0.25">
      <c r="A173" s="26">
        <f t="shared" si="71"/>
        <v>40000</v>
      </c>
      <c r="B173" s="12">
        <f t="shared" si="51"/>
        <v>251327.41228718346</v>
      </c>
      <c r="C173" s="13">
        <f t="shared" si="52"/>
        <v>65.508739084398783</v>
      </c>
      <c r="D173" s="13">
        <f t="shared" si="53"/>
        <v>-0.24134548989082338</v>
      </c>
      <c r="E173" s="13">
        <f t="shared" si="54"/>
        <v>12.156498875162123</v>
      </c>
      <c r="F173" s="13">
        <f t="shared" si="55"/>
        <v>21.697881718411686</v>
      </c>
      <c r="G173" s="13">
        <f t="shared" si="56"/>
        <v>10.041419178806049</v>
      </c>
      <c r="H173" s="13">
        <f t="shared" si="57"/>
        <v>4.0555329173787218</v>
      </c>
      <c r="I173" s="13">
        <f t="shared" si="58"/>
        <v>0</v>
      </c>
      <c r="J173" s="13">
        <f t="shared" si="59"/>
        <v>53.487973632054903</v>
      </c>
      <c r="K173" s="13">
        <f t="shared" si="60"/>
        <v>4.457193838194159E-3</v>
      </c>
      <c r="L173" s="13">
        <f t="shared" si="61"/>
        <v>0.98902265062841732</v>
      </c>
      <c r="M173" s="13">
        <f t="shared" si="62"/>
        <v>0.53703725678393144</v>
      </c>
      <c r="N173" s="13">
        <f t="shared" si="63"/>
        <v>1.0263084936418849</v>
      </c>
      <c r="O173" s="13">
        <f t="shared" si="42"/>
        <v>0.12322971671371059</v>
      </c>
      <c r="P173" s="13">
        <f t="shared" si="64"/>
        <v>0</v>
      </c>
      <c r="Q173" s="13">
        <f t="shared" si="65"/>
        <v>0</v>
      </c>
      <c r="R173" s="27">
        <f t="shared" si="66"/>
        <v>3.2658404259231699</v>
      </c>
      <c r="S173" s="12">
        <f t="shared" si="43"/>
        <v>1.5906469261413159</v>
      </c>
      <c r="T173" s="12">
        <f t="shared" si="44"/>
        <v>1.2506310900758446</v>
      </c>
      <c r="U173" s="12">
        <f t="shared" si="45"/>
        <v>0.89318198976413432</v>
      </c>
      <c r="V173" s="12">
        <f t="shared" si="46"/>
        <v>0</v>
      </c>
      <c r="W173" s="12">
        <f t="shared" si="47"/>
        <v>1.5686799078392937</v>
      </c>
      <c r="X173" s="12">
        <f t="shared" si="48"/>
        <v>3.2033283782785013E-2</v>
      </c>
      <c r="Y173" s="12">
        <f t="shared" si="49"/>
        <v>0.49745145529767387</v>
      </c>
      <c r="Z173" s="12">
        <f t="shared" si="67"/>
        <v>0.16804986695014104</v>
      </c>
      <c r="AA173" s="12">
        <f t="shared" si="68"/>
        <v>0</v>
      </c>
      <c r="AB173" s="12">
        <f t="shared" si="69"/>
        <v>0</v>
      </c>
      <c r="AC173" s="12">
        <f t="shared" si="50"/>
        <v>-1.5906469261413159</v>
      </c>
      <c r="AD173" s="12">
        <f t="shared" si="70"/>
        <v>-98.150441139618067</v>
      </c>
    </row>
    <row r="174" spans="1:30" x14ac:dyDescent="0.25">
      <c r="A174" s="26">
        <f t="shared" si="71"/>
        <v>45000</v>
      </c>
      <c r="B174" s="12">
        <f t="shared" si="51"/>
        <v>282743.3388230814</v>
      </c>
      <c r="C174" s="13">
        <f t="shared" si="52"/>
        <v>65.508739084398783</v>
      </c>
      <c r="D174" s="13">
        <f t="shared" si="53"/>
        <v>-0.5710778856430736</v>
      </c>
      <c r="E174" s="13">
        <f t="shared" si="54"/>
        <v>13.670813231849159</v>
      </c>
      <c r="F174" s="13">
        <f t="shared" si="55"/>
        <v>22.723458950195461</v>
      </c>
      <c r="G174" s="13">
        <f t="shared" si="56"/>
        <v>10.973234928453262</v>
      </c>
      <c r="H174" s="13">
        <f t="shared" si="57"/>
        <v>4.7046830620319238</v>
      </c>
      <c r="I174" s="13">
        <f t="shared" si="58"/>
        <v>0</v>
      </c>
      <c r="J174" s="13">
        <f t="shared" si="59"/>
        <v>54.511019998268814</v>
      </c>
      <c r="K174" s="13">
        <f t="shared" si="60"/>
        <v>5.6403674312761557E-3</v>
      </c>
      <c r="L174" s="13">
        <f t="shared" si="61"/>
        <v>0.9861067922015907</v>
      </c>
      <c r="M174" s="13">
        <f t="shared" si="62"/>
        <v>0.6041669138819229</v>
      </c>
      <c r="N174" s="13">
        <f t="shared" si="63"/>
        <v>1.2626919852435514</v>
      </c>
      <c r="O174" s="13">
        <f t="shared" si="42"/>
        <v>0.15538325800959518</v>
      </c>
      <c r="P174" s="13">
        <f t="shared" si="64"/>
        <v>0</v>
      </c>
      <c r="Q174" s="13">
        <f t="shared" si="65"/>
        <v>0</v>
      </c>
      <c r="R174" s="27">
        <f t="shared" si="66"/>
        <v>2.5284625157352734</v>
      </c>
      <c r="S174" s="12">
        <f t="shared" si="43"/>
        <v>1.6125455659474628</v>
      </c>
      <c r="T174" s="12">
        <f t="shared" si="44"/>
        <v>1.2841801137065423</v>
      </c>
      <c r="U174" s="12">
        <f t="shared" si="45"/>
        <v>0.94986922724009282</v>
      </c>
      <c r="V174" s="12">
        <f t="shared" si="46"/>
        <v>0</v>
      </c>
      <c r="W174" s="12">
        <f t="shared" si="47"/>
        <v>1.5689150649115124</v>
      </c>
      <c r="X174" s="12">
        <f t="shared" si="48"/>
        <v>3.6034171267178818E-2</v>
      </c>
      <c r="Y174" s="12">
        <f t="shared" si="49"/>
        <v>0.54969016320200315</v>
      </c>
      <c r="Z174" s="12">
        <f t="shared" si="67"/>
        <v>0.18858811969016706</v>
      </c>
      <c r="AA174" s="12">
        <f t="shared" si="68"/>
        <v>0</v>
      </c>
      <c r="AB174" s="12">
        <f t="shared" si="69"/>
        <v>0</v>
      </c>
      <c r="AC174" s="12">
        <f t="shared" si="50"/>
        <v>-1.6125455659474628</v>
      </c>
      <c r="AD174" s="12">
        <f t="shared" si="70"/>
        <v>-98.647504022770093</v>
      </c>
    </row>
    <row r="175" spans="1:30" x14ac:dyDescent="0.25">
      <c r="A175" s="26">
        <f t="shared" si="71"/>
        <v>50000</v>
      </c>
      <c r="B175" s="12">
        <f t="shared" si="51"/>
        <v>314159.26535897929</v>
      </c>
      <c r="C175" s="13">
        <f t="shared" si="52"/>
        <v>65.508739084398783</v>
      </c>
      <c r="D175" s="13">
        <f t="shared" si="53"/>
        <v>-0.93960232795441123</v>
      </c>
      <c r="E175" s="13">
        <f t="shared" si="54"/>
        <v>15.183275352286229</v>
      </c>
      <c r="F175" s="13">
        <f t="shared" si="55"/>
        <v>23.643909484389418</v>
      </c>
      <c r="G175" s="13">
        <f t="shared" si="56"/>
        <v>11.821928927044215</v>
      </c>
      <c r="H175" s="13">
        <f t="shared" si="57"/>
        <v>5.3311480904200934</v>
      </c>
      <c r="I175" s="13">
        <f t="shared" si="58"/>
        <v>0</v>
      </c>
      <c r="J175" s="13">
        <f t="shared" si="59"/>
        <v>55.426166889124545</v>
      </c>
      <c r="K175" s="13">
        <f t="shared" si="60"/>
        <v>6.9623565768245303E-3</v>
      </c>
      <c r="L175" s="13">
        <f t="shared" si="61"/>
        <v>0.98284789160690211</v>
      </c>
      <c r="M175" s="13">
        <f t="shared" si="62"/>
        <v>0.67129657097991424</v>
      </c>
      <c r="N175" s="13">
        <f t="shared" si="63"/>
        <v>1.5125614774894887</v>
      </c>
      <c r="O175" s="13">
        <f t="shared" si="42"/>
        <v>0.19104008918978987</v>
      </c>
      <c r="P175" s="13">
        <f t="shared" si="64"/>
        <v>0</v>
      </c>
      <c r="Q175" s="13">
        <f t="shared" si="65"/>
        <v>0</v>
      </c>
      <c r="R175" s="27">
        <f t="shared" si="66"/>
        <v>1.8811758050930294</v>
      </c>
      <c r="S175" s="12">
        <f t="shared" si="43"/>
        <v>1.6326015440809516</v>
      </c>
      <c r="T175" s="12">
        <f t="shared" si="44"/>
        <v>1.3115093180978645</v>
      </c>
      <c r="U175" s="12">
        <f t="shared" si="45"/>
        <v>0.99880712131256477</v>
      </c>
      <c r="V175" s="12">
        <f t="shared" si="46"/>
        <v>0</v>
      </c>
      <c r="W175" s="12">
        <f t="shared" si="47"/>
        <v>1.5691031907203414</v>
      </c>
      <c r="X175" s="12">
        <f t="shared" si="48"/>
        <v>4.0033904985767824E-2</v>
      </c>
      <c r="Y175" s="12">
        <f t="shared" si="49"/>
        <v>0.59923317148396527</v>
      </c>
      <c r="Z175" s="12">
        <f t="shared" si="67"/>
        <v>0.20896663322453218</v>
      </c>
      <c r="AA175" s="12">
        <f t="shared" si="68"/>
        <v>0</v>
      </c>
      <c r="AB175" s="12">
        <f t="shared" si="69"/>
        <v>0</v>
      </c>
      <c r="AC175" s="12">
        <f t="shared" si="50"/>
        <v>-1.6326015440809516</v>
      </c>
      <c r="AD175" s="12">
        <f t="shared" si="70"/>
        <v>-99.67299883946373</v>
      </c>
    </row>
    <row r="176" spans="1:30" x14ac:dyDescent="0.25">
      <c r="A176" s="26">
        <f t="shared" si="71"/>
        <v>55000</v>
      </c>
      <c r="B176" s="12">
        <f t="shared" si="51"/>
        <v>345575.19189487724</v>
      </c>
      <c r="C176" s="13">
        <f t="shared" si="52"/>
        <v>65.508739084398783</v>
      </c>
      <c r="D176" s="13">
        <f t="shared" si="53"/>
        <v>-1.3469188168248376</v>
      </c>
      <c r="E176" s="13">
        <f t="shared" si="54"/>
        <v>16.693679432445563</v>
      </c>
      <c r="F176" s="13">
        <f t="shared" si="55"/>
        <v>24.479222183451736</v>
      </c>
      <c r="G176" s="13">
        <f t="shared" si="56"/>
        <v>12.599949909773965</v>
      </c>
      <c r="H176" s="13">
        <f t="shared" si="57"/>
        <v>5.9323352283063944</v>
      </c>
      <c r="I176" s="13">
        <f t="shared" si="58"/>
        <v>0</v>
      </c>
      <c r="J176" s="13">
        <f t="shared" si="59"/>
        <v>56.254018431553312</v>
      </c>
      <c r="K176" s="13">
        <f t="shared" si="60"/>
        <v>8.4230344462458868E-3</v>
      </c>
      <c r="L176" s="13">
        <f t="shared" si="61"/>
        <v>0.97924594884435157</v>
      </c>
      <c r="M176" s="13">
        <f t="shared" si="62"/>
        <v>0.7384262280779057</v>
      </c>
      <c r="N176" s="13">
        <f t="shared" si="63"/>
        <v>1.7730440712026438</v>
      </c>
      <c r="O176" s="13">
        <f t="shared" si="42"/>
        <v>0.23011263641908825</v>
      </c>
      <c r="P176" s="13">
        <f t="shared" si="64"/>
        <v>0</v>
      </c>
      <c r="Q176" s="13">
        <f t="shared" si="65"/>
        <v>0</v>
      </c>
      <c r="R176" s="27">
        <f t="shared" si="66"/>
        <v>1.296203865406115</v>
      </c>
      <c r="S176" s="12">
        <f t="shared" si="43"/>
        <v>1.6513062819187168</v>
      </c>
      <c r="T176" s="12">
        <f t="shared" si="44"/>
        <v>1.3341700715967821</v>
      </c>
      <c r="U176" s="12">
        <f t="shared" si="45"/>
        <v>1.0412905883016614</v>
      </c>
      <c r="V176" s="12">
        <f t="shared" si="46"/>
        <v>0</v>
      </c>
      <c r="W176" s="12">
        <f t="shared" si="47"/>
        <v>1.5692571119263972</v>
      </c>
      <c r="X176" s="12">
        <f t="shared" si="48"/>
        <v>4.4032357522551829E-2</v>
      </c>
      <c r="Y176" s="12">
        <f t="shared" si="49"/>
        <v>0.64610488346013439</v>
      </c>
      <c r="Z176" s="12">
        <f t="shared" si="67"/>
        <v>0.22917054764960304</v>
      </c>
      <c r="AA176" s="12">
        <f t="shared" si="68"/>
        <v>0</v>
      </c>
      <c r="AB176" s="12">
        <f t="shared" si="69"/>
        <v>0</v>
      </c>
      <c r="AC176" s="12">
        <f t="shared" si="50"/>
        <v>-1.6513062819187168</v>
      </c>
      <c r="AD176" s="12">
        <f t="shared" si="70"/>
        <v>-101.09327627224643</v>
      </c>
    </row>
    <row r="177" spans="1:30" x14ac:dyDescent="0.25">
      <c r="A177" s="26">
        <f t="shared" si="71"/>
        <v>60000</v>
      </c>
      <c r="B177" s="12">
        <f t="shared" si="51"/>
        <v>376991.11843077518</v>
      </c>
      <c r="C177" s="13">
        <f t="shared" si="52"/>
        <v>65.508739084398783</v>
      </c>
      <c r="D177" s="13">
        <f t="shared" si="53"/>
        <v>-1.7930273522543527</v>
      </c>
      <c r="E177" s="13">
        <f t="shared" si="54"/>
        <v>18.201819668299386</v>
      </c>
      <c r="F177" s="13">
        <f t="shared" si="55"/>
        <v>25.24423628267947</v>
      </c>
      <c r="G177" s="13">
        <f t="shared" si="56"/>
        <v>13.317432686883832</v>
      </c>
      <c r="H177" s="13">
        <f t="shared" si="57"/>
        <v>6.5074227371773299</v>
      </c>
      <c r="I177" s="13">
        <f t="shared" si="58"/>
        <v>0</v>
      </c>
      <c r="J177" s="13">
        <f t="shared" si="59"/>
        <v>57.009788005923866</v>
      </c>
      <c r="K177" s="13">
        <f t="shared" si="60"/>
        <v>1.0022261010203776E-2</v>
      </c>
      <c r="L177" s="13">
        <f t="shared" si="61"/>
        <v>0.97530096391393906</v>
      </c>
      <c r="M177" s="13">
        <f t="shared" si="62"/>
        <v>0.80555588517589716</v>
      </c>
      <c r="N177" s="13">
        <f t="shared" si="63"/>
        <v>2.0415587950716412</v>
      </c>
      <c r="O177" s="13">
        <f t="shared" si="42"/>
        <v>0.27250685825502791</v>
      </c>
      <c r="P177" s="13">
        <f t="shared" si="64"/>
        <v>0</v>
      </c>
      <c r="Q177" s="13">
        <f t="shared" si="65"/>
        <v>0</v>
      </c>
      <c r="R177" s="27">
        <f t="shared" si="66"/>
        <v>0.75548230551974038</v>
      </c>
      <c r="S177" s="12">
        <f t="shared" si="43"/>
        <v>1.6689876704348905</v>
      </c>
      <c r="T177" s="12">
        <f t="shared" si="44"/>
        <v>1.3532461161841791</v>
      </c>
      <c r="U177" s="12">
        <f t="shared" si="45"/>
        <v>1.0783906989798158</v>
      </c>
      <c r="V177" s="12">
        <f t="shared" si="46"/>
        <v>0</v>
      </c>
      <c r="W177" s="12">
        <f t="shared" si="47"/>
        <v>1.5693853796541328</v>
      </c>
      <c r="X177" s="12">
        <f t="shared" si="48"/>
        <v>4.8029401706998473E-2</v>
      </c>
      <c r="Y177" s="12">
        <f t="shared" si="49"/>
        <v>0.69036873710615998</v>
      </c>
      <c r="Z177" s="12">
        <f t="shared" si="67"/>
        <v>0.24918582593424432</v>
      </c>
      <c r="AA177" s="12">
        <f t="shared" si="68"/>
        <v>0</v>
      </c>
      <c r="AB177" s="12">
        <f t="shared" si="69"/>
        <v>0</v>
      </c>
      <c r="AC177" s="12">
        <f t="shared" si="50"/>
        <v>-1.6689876704348905</v>
      </c>
      <c r="AD177" s="12">
        <f t="shared" si="70"/>
        <v>-102.80697453630147</v>
      </c>
    </row>
    <row r="178" spans="1:30" x14ac:dyDescent="0.25">
      <c r="A178" s="26">
        <f t="shared" si="71"/>
        <v>65000</v>
      </c>
      <c r="B178" s="12">
        <f t="shared" si="51"/>
        <v>408407.04496667313</v>
      </c>
      <c r="C178" s="13">
        <f t="shared" si="52"/>
        <v>65.508739084398783</v>
      </c>
      <c r="D178" s="13">
        <f t="shared" si="53"/>
        <v>-2.2779279342429559</v>
      </c>
      <c r="E178" s="13">
        <f t="shared" si="54"/>
        <v>19.707490255819923</v>
      </c>
      <c r="F178" s="13">
        <f t="shared" si="55"/>
        <v>25.950265417453</v>
      </c>
      <c r="G178" s="13">
        <f t="shared" si="56"/>
        <v>13.982642060827324</v>
      </c>
      <c r="H178" s="13">
        <f t="shared" si="57"/>
        <v>7.0566573284851657</v>
      </c>
      <c r="I178" s="13">
        <f t="shared" si="58"/>
        <v>0</v>
      </c>
      <c r="J178" s="13">
        <f t="shared" si="59"/>
        <v>57.705028852142455</v>
      </c>
      <c r="K178" s="13">
        <f t="shared" si="60"/>
        <v>1.175988308326773E-2</v>
      </c>
      <c r="L178" s="13">
        <f t="shared" si="61"/>
        <v>0.97101293681566458</v>
      </c>
      <c r="M178" s="13">
        <f t="shared" si="62"/>
        <v>0.87268554227388861</v>
      </c>
      <c r="N178" s="13">
        <f t="shared" si="63"/>
        <v>2.3158329218030964</v>
      </c>
      <c r="O178" s="13">
        <f t="shared" si="42"/>
        <v>0.31812294785841683</v>
      </c>
      <c r="P178" s="13">
        <f t="shared" si="64"/>
        <v>0</v>
      </c>
      <c r="Q178" s="13">
        <f t="shared" si="65"/>
        <v>0</v>
      </c>
      <c r="R178" s="27">
        <f t="shared" si="66"/>
        <v>0.2470284513710404</v>
      </c>
      <c r="S178" s="12">
        <f t="shared" si="43"/>
        <v>1.6858725659287437</v>
      </c>
      <c r="T178" s="12">
        <f t="shared" si="44"/>
        <v>1.369514579729139</v>
      </c>
      <c r="U178" s="12">
        <f t="shared" si="45"/>
        <v>1.1109846017924698</v>
      </c>
      <c r="V178" s="12">
        <f t="shared" si="46"/>
        <v>0</v>
      </c>
      <c r="W178" s="12">
        <f t="shared" si="47"/>
        <v>1.5694939139217259</v>
      </c>
      <c r="X178" s="12">
        <f t="shared" si="48"/>
        <v>5.2024910638136052E-2</v>
      </c>
      <c r="Y178" s="12">
        <f t="shared" si="49"/>
        <v>0.73211703769428349</v>
      </c>
      <c r="Z178" s="12">
        <f t="shared" si="67"/>
        <v>0.26899929564693176</v>
      </c>
      <c r="AA178" s="12">
        <f t="shared" si="68"/>
        <v>0</v>
      </c>
      <c r="AB178" s="12">
        <f t="shared" si="69"/>
        <v>0</v>
      </c>
      <c r="AC178" s="12">
        <f t="shared" si="50"/>
        <v>-1.6858725659287437</v>
      </c>
      <c r="AD178" s="12">
        <f t="shared" si="70"/>
        <v>-104.73717438812234</v>
      </c>
    </row>
    <row r="179" spans="1:30" x14ac:dyDescent="0.25">
      <c r="A179" s="26">
        <f t="shared" si="71"/>
        <v>70000</v>
      </c>
      <c r="B179" s="12">
        <f t="shared" si="51"/>
        <v>439822.97150257102</v>
      </c>
      <c r="C179" s="13">
        <f t="shared" si="52"/>
        <v>65.508739084398783</v>
      </c>
      <c r="D179" s="13">
        <f t="shared" si="53"/>
        <v>-2.8016205627906459</v>
      </c>
      <c r="E179" s="13">
        <f t="shared" si="54"/>
        <v>21.210485390979404</v>
      </c>
      <c r="F179" s="13">
        <f t="shared" si="55"/>
        <v>26.606129527263306</v>
      </c>
      <c r="G179" s="13">
        <f t="shared" si="56"/>
        <v>14.602356997961419</v>
      </c>
      <c r="H179" s="13">
        <f t="shared" si="57"/>
        <v>7.5809012948251118</v>
      </c>
      <c r="I179" s="13">
        <f t="shared" si="58"/>
        <v>0</v>
      </c>
      <c r="J179" s="13">
        <f t="shared" si="59"/>
        <v>58.348721504750131</v>
      </c>
      <c r="K179" s="13">
        <f t="shared" si="60"/>
        <v>1.3635734372678066E-2</v>
      </c>
      <c r="L179" s="13">
        <f t="shared" si="61"/>
        <v>0.96638186754952815</v>
      </c>
      <c r="M179" s="13">
        <f t="shared" si="62"/>
        <v>0.93981519937187996</v>
      </c>
      <c r="N179" s="13">
        <f t="shared" si="63"/>
        <v>2.5938994740758563</v>
      </c>
      <c r="O179" s="13">
        <f t="shared" si="42"/>
        <v>0.36685605102664398</v>
      </c>
      <c r="P179" s="13">
        <f t="shared" si="64"/>
        <v>0</v>
      </c>
      <c r="Q179" s="13">
        <f t="shared" si="65"/>
        <v>0</v>
      </c>
      <c r="R179" s="27">
        <f t="shared" si="66"/>
        <v>-0.23724491430329875</v>
      </c>
      <c r="S179" s="12">
        <f t="shared" si="43"/>
        <v>1.702122687661801</v>
      </c>
      <c r="T179" s="12">
        <f t="shared" si="44"/>
        <v>1.3835457991497915</v>
      </c>
      <c r="U179" s="12">
        <f t="shared" si="45"/>
        <v>1.1397881236192491</v>
      </c>
      <c r="V179" s="12">
        <f t="shared" si="46"/>
        <v>0</v>
      </c>
      <c r="W179" s="12">
        <f t="shared" si="47"/>
        <v>1.5695869433184673</v>
      </c>
      <c r="X179" s="12">
        <f t="shared" si="48"/>
        <v>5.6018757708517691E-2</v>
      </c>
      <c r="Y179" s="12">
        <f t="shared" si="49"/>
        <v>0.77146206584689347</v>
      </c>
      <c r="Z179" s="12">
        <f t="shared" si="67"/>
        <v>0.28859868159129076</v>
      </c>
      <c r="AA179" s="12">
        <f t="shared" si="68"/>
        <v>0</v>
      </c>
      <c r="AB179" s="12">
        <f t="shared" si="69"/>
        <v>0</v>
      </c>
      <c r="AC179" s="12">
        <f t="shared" si="50"/>
        <v>-1.702122687661801</v>
      </c>
      <c r="AD179" s="12">
        <f t="shared" si="70"/>
        <v>-106.82541481657279</v>
      </c>
    </row>
    <row r="180" spans="1:30" x14ac:dyDescent="0.25">
      <c r="A180" s="26">
        <f t="shared" si="71"/>
        <v>75000</v>
      </c>
      <c r="B180" s="12">
        <f t="shared" si="51"/>
        <v>471238.89803846896</v>
      </c>
      <c r="C180" s="13">
        <f t="shared" si="52"/>
        <v>65.508739084398783</v>
      </c>
      <c r="D180" s="13">
        <f t="shared" si="53"/>
        <v>-3.3641052378974257</v>
      </c>
      <c r="E180" s="13">
        <f t="shared" si="54"/>
        <v>22.710599269750052</v>
      </c>
      <c r="F180" s="13">
        <f t="shared" si="55"/>
        <v>27.218835600461535</v>
      </c>
      <c r="G180" s="13">
        <f t="shared" si="56"/>
        <v>15.182179694787163</v>
      </c>
      <c r="H180" s="13">
        <f t="shared" si="57"/>
        <v>8.0813465809971436</v>
      </c>
      <c r="I180" s="13">
        <f t="shared" si="58"/>
        <v>0</v>
      </c>
      <c r="J180" s="13">
        <f t="shared" si="59"/>
        <v>58.947985153593542</v>
      </c>
      <c r="K180" s="13">
        <f t="shared" si="60"/>
        <v>1.5649635531215612E-2</v>
      </c>
      <c r="L180" s="13">
        <f t="shared" si="61"/>
        <v>0.96140775611552975</v>
      </c>
      <c r="M180" s="13">
        <f t="shared" si="62"/>
        <v>1.0069448564698715</v>
      </c>
      <c r="N180" s="13">
        <f t="shared" si="63"/>
        <v>2.8740818328767443</v>
      </c>
      <c r="O180" s="13">
        <f t="shared" si="42"/>
        <v>0.41859699030632069</v>
      </c>
      <c r="P180" s="13">
        <f t="shared" si="64"/>
        <v>0</v>
      </c>
      <c r="Q180" s="13">
        <f t="shared" si="65"/>
        <v>0</v>
      </c>
      <c r="R180" s="27">
        <f t="shared" si="66"/>
        <v>-0.70288385258626307</v>
      </c>
      <c r="S180" s="12">
        <f t="shared" si="43"/>
        <v>1.7178562415989123</v>
      </c>
      <c r="T180" s="12">
        <f t="shared" si="44"/>
        <v>1.3957670341481219</v>
      </c>
      <c r="U180" s="12">
        <f t="shared" si="45"/>
        <v>1.1653856798192626</v>
      </c>
      <c r="V180" s="12">
        <f t="shared" si="46"/>
        <v>0</v>
      </c>
      <c r="W180" s="12">
        <f t="shared" si="47"/>
        <v>1.5696675688126336</v>
      </c>
      <c r="X180" s="12">
        <f t="shared" si="48"/>
        <v>6.0010816628045673E-2</v>
      </c>
      <c r="Y180" s="12">
        <f t="shared" si="49"/>
        <v>0.80852866282474767</v>
      </c>
      <c r="Z180" s="12">
        <f t="shared" si="67"/>
        <v>0.30797262946311044</v>
      </c>
      <c r="AA180" s="12">
        <f t="shared" si="68"/>
        <v>0</v>
      </c>
      <c r="AB180" s="12">
        <f t="shared" si="69"/>
        <v>0</v>
      </c>
      <c r="AC180" s="12">
        <f t="shared" si="50"/>
        <v>-1.7178562415989123</v>
      </c>
      <c r="AD180" s="12">
        <f t="shared" si="70"/>
        <v>-109.02717657345764</v>
      </c>
    </row>
    <row r="181" spans="1:30" x14ac:dyDescent="0.25">
      <c r="A181" s="26">
        <f t="shared" si="71"/>
        <v>80000</v>
      </c>
      <c r="B181" s="12">
        <f t="shared" si="51"/>
        <v>502654.82457436691</v>
      </c>
      <c r="C181" s="13">
        <f t="shared" si="52"/>
        <v>65.508739084398783</v>
      </c>
      <c r="D181" s="13">
        <f t="shared" si="53"/>
        <v>-3.9653819595632935</v>
      </c>
      <c r="E181" s="13">
        <f t="shared" si="54"/>
        <v>24.207626088104092</v>
      </c>
      <c r="F181" s="13">
        <f t="shared" si="55"/>
        <v>27.794041290031224</v>
      </c>
      <c r="G181" s="13">
        <f t="shared" si="56"/>
        <v>15.726777482268472</v>
      </c>
      <c r="H181" s="13">
        <f t="shared" si="57"/>
        <v>8.5593374131257267</v>
      </c>
      <c r="I181" s="13">
        <f t="shared" si="58"/>
        <v>0</v>
      </c>
      <c r="J181" s="13">
        <f t="shared" si="59"/>
        <v>59.508558955547876</v>
      </c>
      <c r="K181" s="13">
        <f t="shared" si="60"/>
        <v>1.7801394214127277E-2</v>
      </c>
      <c r="L181" s="13">
        <f t="shared" si="61"/>
        <v>0.9560906025136694</v>
      </c>
      <c r="M181" s="13">
        <f t="shared" si="62"/>
        <v>1.0740745135678629</v>
      </c>
      <c r="N181" s="13">
        <f t="shared" si="63"/>
        <v>3.154970425354402</v>
      </c>
      <c r="O181" s="13">
        <f t="shared" si="42"/>
        <v>0.47323298600205443</v>
      </c>
      <c r="P181" s="13">
        <f t="shared" si="64"/>
        <v>0</v>
      </c>
      <c r="Q181" s="13">
        <f t="shared" si="65"/>
        <v>0</v>
      </c>
      <c r="R181" s="27">
        <f t="shared" si="66"/>
        <v>-1.1537510713567012</v>
      </c>
      <c r="S181" s="12">
        <f t="shared" si="43"/>
        <v>1.7331614770395107</v>
      </c>
      <c r="T181" s="12">
        <f t="shared" si="44"/>
        <v>1.4065042480429566</v>
      </c>
      <c r="U181" s="12">
        <f t="shared" si="45"/>
        <v>1.1882557306698469</v>
      </c>
      <c r="V181" s="12">
        <f t="shared" si="46"/>
        <v>0</v>
      </c>
      <c r="W181" s="12">
        <f t="shared" si="47"/>
        <v>1.5697381161321031</v>
      </c>
      <c r="X181" s="12">
        <f t="shared" si="48"/>
        <v>6.400096144764475E-2</v>
      </c>
      <c r="Y181" s="12">
        <f t="shared" si="49"/>
        <v>0.84344829549856781</v>
      </c>
      <c r="Z181" s="12">
        <f t="shared" si="67"/>
        <v>0.32711072078716086</v>
      </c>
      <c r="AA181" s="12">
        <f t="shared" si="68"/>
        <v>0</v>
      </c>
      <c r="AB181" s="12">
        <f t="shared" si="69"/>
        <v>0</v>
      </c>
      <c r="AC181" s="12">
        <f t="shared" si="50"/>
        <v>-1.7331614770395107</v>
      </c>
      <c r="AD181" s="12">
        <f t="shared" si="70"/>
        <v>-111.30848749439832</v>
      </c>
    </row>
    <row r="182" spans="1:30" x14ac:dyDescent="0.25">
      <c r="A182" s="26">
        <f t="shared" si="71"/>
        <v>85000</v>
      </c>
      <c r="B182" s="12">
        <f t="shared" si="51"/>
        <v>534070.7511102648</v>
      </c>
      <c r="C182" s="13">
        <f t="shared" si="52"/>
        <v>65.508739084398783</v>
      </c>
      <c r="D182" s="13">
        <f t="shared" si="53"/>
        <v>-4.6054507277882486</v>
      </c>
      <c r="E182" s="13">
        <f t="shared" si="54"/>
        <v>25.70136004201375</v>
      </c>
      <c r="F182" s="13">
        <f t="shared" si="55"/>
        <v>28.336379407790634</v>
      </c>
      <c r="G182" s="13">
        <f t="shared" si="56"/>
        <v>16.24007048519649</v>
      </c>
      <c r="H182" s="13">
        <f t="shared" si="57"/>
        <v>9.0162624057093446</v>
      </c>
      <c r="I182" s="13">
        <f t="shared" si="58"/>
        <v>0</v>
      </c>
      <c r="J182" s="13">
        <f t="shared" si="59"/>
        <v>60.035137174673288</v>
      </c>
      <c r="K182" s="13">
        <f t="shared" si="60"/>
        <v>2.0090805140087153E-2</v>
      </c>
      <c r="L182" s="13">
        <f t="shared" si="61"/>
        <v>0.95043040674394708</v>
      </c>
      <c r="M182" s="13">
        <f t="shared" si="62"/>
        <v>1.1412041706658542</v>
      </c>
      <c r="N182" s="13">
        <f t="shared" si="63"/>
        <v>3.4353953545652316</v>
      </c>
      <c r="O182" s="13">
        <f t="shared" si="42"/>
        <v>0.53064836561962037</v>
      </c>
      <c r="P182" s="13">
        <f t="shared" si="64"/>
        <v>0</v>
      </c>
      <c r="Q182" s="13">
        <f t="shared" si="65"/>
        <v>0</v>
      </c>
      <c r="R182" s="27">
        <f t="shared" si="66"/>
        <v>-1.592579132484236</v>
      </c>
      <c r="S182" s="12">
        <f t="shared" si="43"/>
        <v>1.7481054803253788</v>
      </c>
      <c r="T182" s="12">
        <f t="shared" si="44"/>
        <v>1.4160101922522759</v>
      </c>
      <c r="U182" s="12">
        <f t="shared" si="45"/>
        <v>1.2087916431746397</v>
      </c>
      <c r="V182" s="12">
        <f t="shared" si="46"/>
        <v>0</v>
      </c>
      <c r="W182" s="12">
        <f t="shared" si="47"/>
        <v>1.5698003637756994</v>
      </c>
      <c r="X182" s="12">
        <f t="shared" si="48"/>
        <v>6.7989066582773636E-2</v>
      </c>
      <c r="Y182" s="12">
        <f t="shared" si="49"/>
        <v>0.87635448141062133</v>
      </c>
      <c r="Z182" s="12">
        <f t="shared" si="67"/>
        <v>0.34600347951999677</v>
      </c>
      <c r="AA182" s="12">
        <f t="shared" si="68"/>
        <v>0</v>
      </c>
      <c r="AB182" s="12">
        <f t="shared" si="69"/>
        <v>0</v>
      </c>
      <c r="AC182" s="12">
        <f t="shared" si="50"/>
        <v>-1.7481054803253788</v>
      </c>
      <c r="AD182" s="12">
        <f t="shared" si="70"/>
        <v>-113.64337324439678</v>
      </c>
    </row>
    <row r="183" spans="1:30" x14ac:dyDescent="0.25">
      <c r="A183" s="26">
        <f t="shared" si="71"/>
        <v>90000</v>
      </c>
      <c r="B183" s="12">
        <f t="shared" si="51"/>
        <v>565486.6776461628</v>
      </c>
      <c r="C183" s="13">
        <f t="shared" si="52"/>
        <v>65.508739084398783</v>
      </c>
      <c r="D183" s="13">
        <f t="shared" si="53"/>
        <v>-5.2843115425722944</v>
      </c>
      <c r="E183" s="13">
        <f t="shared" si="54"/>
        <v>27.19159532745126</v>
      </c>
      <c r="F183" s="13">
        <f t="shared" si="55"/>
        <v>28.849690497982895</v>
      </c>
      <c r="G183" s="13">
        <f t="shared" si="56"/>
        <v>16.72537716742163</v>
      </c>
      <c r="H183" s="13">
        <f t="shared" si="57"/>
        <v>9.4534906894565385</v>
      </c>
      <c r="I183" s="13">
        <f t="shared" si="58"/>
        <v>0</v>
      </c>
      <c r="J183" s="13">
        <f t="shared" si="59"/>
        <v>60.531608383809008</v>
      </c>
      <c r="K183" s="13">
        <f t="shared" si="60"/>
        <v>2.2517650156128995E-2</v>
      </c>
      <c r="L183" s="13">
        <f t="shared" si="61"/>
        <v>0.9444271688063629</v>
      </c>
      <c r="M183" s="13">
        <f t="shared" si="62"/>
        <v>1.2083338277638458</v>
      </c>
      <c r="N183" s="13">
        <f t="shared" si="63"/>
        <v>3.7143977627537672</v>
      </c>
      <c r="O183" s="13">
        <f t="shared" si="42"/>
        <v>0.59072525412872956</v>
      </c>
      <c r="P183" s="13">
        <f t="shared" si="64"/>
        <v>0</v>
      </c>
      <c r="Q183" s="13">
        <f t="shared" si="65"/>
        <v>0</v>
      </c>
      <c r="R183" s="27">
        <f t="shared" si="66"/>
        <v>-2.0213326075535782</v>
      </c>
      <c r="S183" s="12">
        <f t="shared" si="43"/>
        <v>1.7627400492712655</v>
      </c>
      <c r="T183" s="12">
        <f t="shared" si="44"/>
        <v>1.4244837137032229</v>
      </c>
      <c r="U183" s="12">
        <f t="shared" si="45"/>
        <v>1.2273184537309083</v>
      </c>
      <c r="V183" s="12">
        <f t="shared" si="46"/>
        <v>0</v>
      </c>
      <c r="W183" s="12">
        <f t="shared" si="47"/>
        <v>1.5698556950209461</v>
      </c>
      <c r="X183" s="12">
        <f t="shared" si="48"/>
        <v>7.1975006836763861E-2</v>
      </c>
      <c r="Y183" s="12">
        <f t="shared" si="49"/>
        <v>0.90737939266388346</v>
      </c>
      <c r="Z183" s="12">
        <f t="shared" si="67"/>
        <v>0.3646423708133304</v>
      </c>
      <c r="AA183" s="12">
        <f t="shared" si="68"/>
        <v>0</v>
      </c>
      <c r="AB183" s="12">
        <f t="shared" si="69"/>
        <v>0</v>
      </c>
      <c r="AC183" s="12">
        <f t="shared" si="50"/>
        <v>-1.7627400492712655</v>
      </c>
      <c r="AD183" s="12">
        <f t="shared" si="70"/>
        <v>-116.01194129178765</v>
      </c>
    </row>
    <row r="184" spans="1:30" x14ac:dyDescent="0.25">
      <c r="A184" s="26">
        <f t="shared" si="71"/>
        <v>95000</v>
      </c>
      <c r="B184" s="12">
        <f t="shared" si="51"/>
        <v>596902.60418206069</v>
      </c>
      <c r="C184" s="13">
        <f t="shared" si="52"/>
        <v>65.508739084398783</v>
      </c>
      <c r="D184" s="13">
        <f t="shared" si="53"/>
        <v>-6.0019644039154247</v>
      </c>
      <c r="E184" s="13">
        <f t="shared" si="54"/>
        <v>28.678126140388841</v>
      </c>
      <c r="F184" s="13">
        <f t="shared" si="55"/>
        <v>29.337193029277703</v>
      </c>
      <c r="G184" s="13">
        <f t="shared" si="56"/>
        <v>17.18552767519104</v>
      </c>
      <c r="H184" s="13">
        <f t="shared" si="57"/>
        <v>9.872335711996838</v>
      </c>
      <c r="I184" s="13">
        <f t="shared" si="58"/>
        <v>0</v>
      </c>
      <c r="J184" s="13">
        <f t="shared" si="59"/>
        <v>61.0012299069611</v>
      </c>
      <c r="K184" s="13">
        <f t="shared" si="60"/>
        <v>2.508169830654168E-2</v>
      </c>
      <c r="L184" s="13">
        <f t="shared" si="61"/>
        <v>0.93808088870091666</v>
      </c>
      <c r="M184" s="13">
        <f t="shared" si="62"/>
        <v>1.2754634848618371</v>
      </c>
      <c r="N184" s="13">
        <f t="shared" si="63"/>
        <v>3.9912018063996917</v>
      </c>
      <c r="O184" s="13">
        <f t="shared" si="42"/>
        <v>0.65334423836730993</v>
      </c>
      <c r="P184" s="13">
        <f t="shared" si="64"/>
        <v>0</v>
      </c>
      <c r="Q184" s="13">
        <f t="shared" si="65"/>
        <v>0</v>
      </c>
      <c r="R184" s="27">
        <f t="shared" si="66"/>
        <v>-2.4414482077256805</v>
      </c>
      <c r="S184" s="12">
        <f t="shared" si="43"/>
        <v>1.7771057194051265</v>
      </c>
      <c r="T184" s="12">
        <f t="shared" si="44"/>
        <v>1.4320833018548333</v>
      </c>
      <c r="U184" s="12">
        <f t="shared" si="45"/>
        <v>1.244106205928315</v>
      </c>
      <c r="V184" s="12">
        <f t="shared" si="46"/>
        <v>0</v>
      </c>
      <c r="W184" s="12">
        <f t="shared" si="47"/>
        <v>1.5699052019294801</v>
      </c>
      <c r="X184" s="12">
        <f t="shared" si="48"/>
        <v>7.5958657423975035E-2</v>
      </c>
      <c r="Y184" s="12">
        <f t="shared" si="49"/>
        <v>0.93665143764067793</v>
      </c>
      <c r="Z184" s="12">
        <f t="shared" si="67"/>
        <v>0.38301979252037438</v>
      </c>
      <c r="AA184" s="12">
        <f t="shared" si="68"/>
        <v>0</v>
      </c>
      <c r="AB184" s="12">
        <f t="shared" si="69"/>
        <v>0</v>
      </c>
      <c r="AC184" s="12">
        <f t="shared" si="50"/>
        <v>-1.7771057194051265</v>
      </c>
      <c r="AD184" s="12">
        <f t="shared" si="70"/>
        <v>-118.39893812443815</v>
      </c>
    </row>
    <row r="185" spans="1:30" x14ac:dyDescent="0.25">
      <c r="A185" s="26">
        <f t="shared" si="71"/>
        <v>100000</v>
      </c>
      <c r="B185" s="12">
        <f t="shared" si="51"/>
        <v>628318.53071795858</v>
      </c>
      <c r="C185" s="13">
        <f t="shared" si="52"/>
        <v>65.508739084398783</v>
      </c>
      <c r="D185" s="13">
        <f t="shared" si="53"/>
        <v>-6.7584093118176449</v>
      </c>
      <c r="E185" s="13">
        <f t="shared" si="54"/>
        <v>30.160746676798716</v>
      </c>
      <c r="F185" s="13">
        <f t="shared" si="55"/>
        <v>29.801610243905351</v>
      </c>
      <c r="G185" s="13">
        <f t="shared" si="56"/>
        <v>17.622952655178299</v>
      </c>
      <c r="H185" s="13">
        <f t="shared" si="57"/>
        <v>10.274036289853816</v>
      </c>
      <c r="I185" s="13">
        <f t="shared" si="58"/>
        <v>0</v>
      </c>
      <c r="J185" s="13">
        <f t="shared" si="59"/>
        <v>61.446757464931316</v>
      </c>
      <c r="K185" s="13">
        <f t="shared" si="60"/>
        <v>2.778270590563113E-2</v>
      </c>
      <c r="L185" s="13">
        <f t="shared" si="61"/>
        <v>0.93139156642760845</v>
      </c>
      <c r="M185" s="13">
        <f t="shared" si="62"/>
        <v>1.3425931419598285</v>
      </c>
      <c r="N185" s="13">
        <f t="shared" si="63"/>
        <v>4.2651884028206126</v>
      </c>
      <c r="O185" s="13">
        <f t="shared" si="42"/>
        <v>0.71838499990020099</v>
      </c>
      <c r="P185" s="13">
        <f t="shared" si="64"/>
        <v>0</v>
      </c>
      <c r="Q185" s="13">
        <f t="shared" si="65"/>
        <v>0</v>
      </c>
      <c r="R185" s="27">
        <f t="shared" si="66"/>
        <v>-2.8539957880322087</v>
      </c>
      <c r="S185" s="12">
        <f t="shared" si="43"/>
        <v>1.7912345864867298</v>
      </c>
      <c r="T185" s="12">
        <f t="shared" si="44"/>
        <v>1.4389367716335111</v>
      </c>
      <c r="U185" s="12">
        <f t="shared" si="45"/>
        <v>1.2593805214521152</v>
      </c>
      <c r="V185" s="12">
        <f t="shared" si="46"/>
        <v>0</v>
      </c>
      <c r="W185" s="12">
        <f t="shared" si="47"/>
        <v>1.5699497581509023</v>
      </c>
      <c r="X185" s="12">
        <f t="shared" si="48"/>
        <v>7.9939893992756472E-2</v>
      </c>
      <c r="Y185" s="12">
        <f t="shared" si="49"/>
        <v>0.96429362582875666</v>
      </c>
      <c r="Z185" s="12">
        <f t="shared" si="67"/>
        <v>0.40112906009449922</v>
      </c>
      <c r="AA185" s="12">
        <f t="shared" si="68"/>
        <v>0</v>
      </c>
      <c r="AB185" s="12">
        <f t="shared" si="69"/>
        <v>0</v>
      </c>
      <c r="AC185" s="12">
        <f t="shared" si="50"/>
        <v>-1.7912345864867298</v>
      </c>
      <c r="AD185" s="12">
        <f t="shared" si="70"/>
        <v>-120.79266012753835</v>
      </c>
    </row>
    <row r="186" spans="1:30" x14ac:dyDescent="0.25">
      <c r="A186" s="26">
        <f>A185+50000</f>
        <v>150000</v>
      </c>
      <c r="B186" s="12">
        <f t="shared" si="51"/>
        <v>942477.79607693793</v>
      </c>
      <c r="C186" s="13">
        <f t="shared" si="52"/>
        <v>65.508739084398783</v>
      </c>
      <c r="D186" s="13">
        <f t="shared" si="53"/>
        <v>-16.456420951589703</v>
      </c>
      <c r="E186" s="13">
        <f t="shared" si="54"/>
        <v>44.726609945763727</v>
      </c>
      <c r="F186" s="13">
        <f t="shared" si="55"/>
        <v>33.562713321232479</v>
      </c>
      <c r="G186" s="13">
        <f t="shared" si="56"/>
        <v>21.102868544670415</v>
      </c>
      <c r="H186" s="13">
        <f t="shared" si="57"/>
        <v>13.563219344307374</v>
      </c>
      <c r="I186" s="13">
        <f t="shared" si="58"/>
        <v>0</v>
      </c>
      <c r="J186" s="13">
        <f t="shared" si="59"/>
        <v>64.968580916881095</v>
      </c>
      <c r="K186" s="13">
        <f t="shared" si="60"/>
        <v>6.2263003417771565E-2</v>
      </c>
      <c r="L186" s="13">
        <f t="shared" si="61"/>
        <v>0.84563102446211902</v>
      </c>
      <c r="M186" s="13">
        <f t="shared" si="62"/>
        <v>2.0138897129397431</v>
      </c>
      <c r="N186" s="13">
        <f t="shared" si="63"/>
        <v>6.7859518004299719</v>
      </c>
      <c r="O186" s="13">
        <f t="shared" si="42"/>
        <v>1.4759410568424376</v>
      </c>
      <c r="P186" s="13">
        <f t="shared" si="64"/>
        <v>0</v>
      </c>
      <c r="Q186" s="13">
        <f t="shared" si="65"/>
        <v>0</v>
      </c>
      <c r="R186" s="27">
        <f t="shared" si="66"/>
        <v>-6.6806231254271875</v>
      </c>
      <c r="S186" s="12">
        <f t="shared" si="43"/>
        <v>1.9233574179536745</v>
      </c>
      <c r="T186" s="12">
        <f t="shared" si="44"/>
        <v>1.4826062598793801</v>
      </c>
      <c r="U186" s="12">
        <f t="shared" si="45"/>
        <v>1.3594093475109597</v>
      </c>
      <c r="V186" s="12">
        <f t="shared" si="46"/>
        <v>0</v>
      </c>
      <c r="W186" s="12">
        <f t="shared" si="47"/>
        <v>1.570231947623997</v>
      </c>
      <c r="X186" s="12">
        <f t="shared" si="48"/>
        <v>0.11959248648935113</v>
      </c>
      <c r="Y186" s="12">
        <f t="shared" si="49"/>
        <v>1.1732538778178094</v>
      </c>
      <c r="Z186" s="12">
        <f t="shared" si="67"/>
        <v>0.56660356132283729</v>
      </c>
      <c r="AA186" s="12">
        <f t="shared" si="68"/>
        <v>0</v>
      </c>
      <c r="AB186" s="12">
        <f t="shared" si="69"/>
        <v>0</v>
      </c>
      <c r="AC186" s="12">
        <f t="shared" si="50"/>
        <v>-1.9233574179536745</v>
      </c>
      <c r="AD186" s="12">
        <f t="shared" si="70"/>
        <v>-143.87105934012547</v>
      </c>
    </row>
    <row r="187" spans="1:30" x14ac:dyDescent="0.25">
      <c r="A187" s="26">
        <f t="shared" ref="A187:A203" si="72">A186+50000</f>
        <v>200000</v>
      </c>
      <c r="B187" s="12">
        <f t="shared" si="51"/>
        <v>1256637.0614359172</v>
      </c>
      <c r="C187" s="13">
        <f t="shared" si="52"/>
        <v>65.508739084398783</v>
      </c>
      <c r="D187" s="13">
        <f t="shared" si="53"/>
        <v>-30.03363724727058</v>
      </c>
      <c r="E187" s="13">
        <f t="shared" si="54"/>
        <v>58.675061131407503</v>
      </c>
      <c r="F187" s="13">
        <f t="shared" si="55"/>
        <v>36.379680070499482</v>
      </c>
      <c r="G187" s="13">
        <f t="shared" si="56"/>
        <v>23.586878954398646</v>
      </c>
      <c r="H187" s="13">
        <f t="shared" si="57"/>
        <v>15.977532993782935</v>
      </c>
      <c r="I187" s="13">
        <f t="shared" si="58"/>
        <v>0</v>
      </c>
      <c r="J187" s="13">
        <f t="shared" si="59"/>
        <v>67.467355043839589</v>
      </c>
      <c r="K187" s="13">
        <f t="shared" si="60"/>
        <v>0.11008009067694891</v>
      </c>
      <c r="L187" s="13">
        <f t="shared" si="61"/>
        <v>0.72556626571043392</v>
      </c>
      <c r="M187" s="13">
        <f t="shared" si="62"/>
        <v>2.685186283919657</v>
      </c>
      <c r="N187" s="13">
        <f t="shared" si="63"/>
        <v>8.8855417306774207</v>
      </c>
      <c r="O187" s="13">
        <f t="shared" si="42"/>
        <v>2.3540904430543148</v>
      </c>
      <c r="P187" s="13">
        <f t="shared" si="64"/>
        <v>0</v>
      </c>
      <c r="Q187" s="13">
        <f t="shared" si="65"/>
        <v>0</v>
      </c>
      <c r="R187" s="27">
        <f t="shared" si="66"/>
        <v>-10.123596346167393</v>
      </c>
      <c r="S187" s="12">
        <f t="shared" si="43"/>
        <v>2.0438898337750633</v>
      </c>
      <c r="T187" s="12">
        <f t="shared" si="44"/>
        <v>1.5045787202464824</v>
      </c>
      <c r="U187" s="12">
        <f t="shared" si="45"/>
        <v>1.4112201323612028</v>
      </c>
      <c r="V187" s="12">
        <f t="shared" si="46"/>
        <v>0</v>
      </c>
      <c r="W187" s="12">
        <f t="shared" si="47"/>
        <v>1.5703730423970599</v>
      </c>
      <c r="X187" s="12">
        <f t="shared" si="48"/>
        <v>0.15887095806673071</v>
      </c>
      <c r="Y187" s="12">
        <f t="shared" si="49"/>
        <v>1.3068880495950619</v>
      </c>
      <c r="Z187" s="12">
        <f t="shared" si="67"/>
        <v>0.70347691790022493</v>
      </c>
      <c r="AA187" s="12">
        <f t="shared" si="68"/>
        <v>0</v>
      </c>
      <c r="AB187" s="12">
        <f t="shared" si="69"/>
        <v>0</v>
      </c>
      <c r="AC187" s="12">
        <f t="shared" si="50"/>
        <v>-2.0438898337750633</v>
      </c>
      <c r="AD187" s="12">
        <f t="shared" si="70"/>
        <v>-164.30710399482678</v>
      </c>
    </row>
    <row r="188" spans="1:30" x14ac:dyDescent="0.25">
      <c r="A188" s="26">
        <f t="shared" si="72"/>
        <v>250000</v>
      </c>
      <c r="B188" s="12">
        <f t="shared" si="51"/>
        <v>1570796.3267948965</v>
      </c>
      <c r="C188" s="13">
        <f t="shared" si="52"/>
        <v>65.508739084398783</v>
      </c>
      <c r="D188" s="13">
        <f t="shared" si="53"/>
        <v>-47.490058198860289</v>
      </c>
      <c r="E188" s="13">
        <f t="shared" si="54"/>
        <v>71.800296205956329</v>
      </c>
      <c r="F188" s="13">
        <f t="shared" si="55"/>
        <v>38.698526783984732</v>
      </c>
      <c r="G188" s="13">
        <f t="shared" si="56"/>
        <v>25.518228412625152</v>
      </c>
      <c r="H188" s="13">
        <f t="shared" si="57"/>
        <v>17.876076712917516</v>
      </c>
      <c r="I188" s="13">
        <f t="shared" si="58"/>
        <v>0</v>
      </c>
      <c r="J188" s="13">
        <f t="shared" si="59"/>
        <v>69.405555023876076</v>
      </c>
      <c r="K188" s="13">
        <f t="shared" si="60"/>
        <v>0.17079559609458117</v>
      </c>
      <c r="L188" s="13">
        <f t="shared" si="61"/>
        <v>0.57119729017255305</v>
      </c>
      <c r="M188" s="13">
        <f t="shared" si="62"/>
        <v>3.3564828548995713</v>
      </c>
      <c r="N188" s="13">
        <f t="shared" si="63"/>
        <v>10.641674950816336</v>
      </c>
      <c r="O188" s="13">
        <f t="shared" si="42"/>
        <v>3.2720791971731029</v>
      </c>
      <c r="P188" s="13">
        <f t="shared" si="64"/>
        <v>0</v>
      </c>
      <c r="Q188" s="13">
        <f t="shared" si="65"/>
        <v>0</v>
      </c>
      <c r="R188" s="27">
        <f t="shared" si="66"/>
        <v>-13.285587342003387</v>
      </c>
      <c r="S188" s="12">
        <f t="shared" si="43"/>
        <v>2.1551569135985309</v>
      </c>
      <c r="T188" s="12">
        <f t="shared" si="44"/>
        <v>1.5177943661052453</v>
      </c>
      <c r="U188" s="12">
        <f t="shared" si="45"/>
        <v>1.44274511985347</v>
      </c>
      <c r="V188" s="12">
        <f t="shared" si="46"/>
        <v>0</v>
      </c>
      <c r="W188" s="12">
        <f t="shared" si="47"/>
        <v>1.5704576992693466</v>
      </c>
      <c r="X188" s="12">
        <f t="shared" si="48"/>
        <v>0.19766144153727672</v>
      </c>
      <c r="Y188" s="12">
        <f t="shared" si="49"/>
        <v>1.4022338256646802</v>
      </c>
      <c r="Z188" s="12">
        <f t="shared" si="67"/>
        <v>0.81466297072446425</v>
      </c>
      <c r="AA188" s="12">
        <f t="shared" si="68"/>
        <v>0</v>
      </c>
      <c r="AB188" s="12">
        <f t="shared" si="69"/>
        <v>0</v>
      </c>
      <c r="AC188" s="12">
        <f t="shared" si="50"/>
        <v>-2.1551569135985309</v>
      </c>
      <c r="AD188" s="12">
        <f t="shared" si="70"/>
        <v>-182.17957220405964</v>
      </c>
    </row>
    <row r="189" spans="1:30" x14ac:dyDescent="0.25">
      <c r="A189" s="26">
        <f t="shared" si="72"/>
        <v>300000</v>
      </c>
      <c r="B189" s="12">
        <f t="shared" si="51"/>
        <v>1884955.5921538759</v>
      </c>
      <c r="C189" s="13">
        <f t="shared" si="52"/>
        <v>65.508739084398783</v>
      </c>
      <c r="D189" s="13">
        <f t="shared" si="53"/>
        <v>-68.825683806358811</v>
      </c>
      <c r="E189" s="13">
        <f t="shared" si="54"/>
        <v>83.896511141636438</v>
      </c>
      <c r="F189" s="13">
        <f t="shared" si="55"/>
        <v>40.709830202983134</v>
      </c>
      <c r="G189" s="13">
        <f t="shared" si="56"/>
        <v>27.098127375715784</v>
      </c>
      <c r="H189" s="13">
        <f t="shared" si="57"/>
        <v>19.43800706112631</v>
      </c>
      <c r="I189" s="13">
        <f t="shared" si="58"/>
        <v>0</v>
      </c>
      <c r="J189" s="13">
        <f t="shared" si="59"/>
        <v>70.989179792662071</v>
      </c>
      <c r="K189" s="13">
        <f t="shared" si="60"/>
        <v>0.24386890330812699</v>
      </c>
      <c r="L189" s="13">
        <f t="shared" si="61"/>
        <v>0.3825240978484763</v>
      </c>
      <c r="M189" s="13">
        <f t="shared" si="62"/>
        <v>4.0277794258794861</v>
      </c>
      <c r="N189" s="13">
        <f t="shared" si="63"/>
        <v>12.140309514776185</v>
      </c>
      <c r="O189" s="13">
        <f t="shared" si="42"/>
        <v>4.1812491025794163</v>
      </c>
      <c r="P189" s="13">
        <f t="shared" si="64"/>
        <v>0</v>
      </c>
      <c r="Q189" s="13">
        <f t="shared" si="65"/>
        <v>0</v>
      </c>
      <c r="R189" s="27">
        <f t="shared" si="66"/>
        <v>-16.219563995068054</v>
      </c>
      <c r="S189" s="12">
        <f t="shared" si="43"/>
        <v>2.2578316341626876</v>
      </c>
      <c r="T189" s="12">
        <f t="shared" si="44"/>
        <v>1.5266153892471293</v>
      </c>
      <c r="U189" s="12">
        <f t="shared" si="45"/>
        <v>1.4639088250093031</v>
      </c>
      <c r="V189" s="12">
        <f t="shared" si="46"/>
        <v>0</v>
      </c>
      <c r="W189" s="12">
        <f t="shared" si="47"/>
        <v>1.5705141371869757</v>
      </c>
      <c r="X189" s="12">
        <f t="shared" si="48"/>
        <v>0.23585872221292778</v>
      </c>
      <c r="Y189" s="12">
        <f t="shared" si="49"/>
        <v>1.4761088643296048</v>
      </c>
      <c r="Z189" s="12">
        <f t="shared" si="67"/>
        <v>0.90469230386197719</v>
      </c>
      <c r="AA189" s="12">
        <f t="shared" si="68"/>
        <v>0</v>
      </c>
      <c r="AB189" s="12">
        <f t="shared" si="69"/>
        <v>0</v>
      </c>
      <c r="AC189" s="12">
        <f t="shared" si="50"/>
        <v>-2.2578316341626876</v>
      </c>
      <c r="AD189" s="12">
        <f t="shared" si="70"/>
        <v>-197.927207347864</v>
      </c>
    </row>
    <row r="190" spans="1:30" x14ac:dyDescent="0.25">
      <c r="A190" s="26">
        <f t="shared" si="72"/>
        <v>350000</v>
      </c>
      <c r="B190" s="12">
        <f t="shared" si="51"/>
        <v>2199114.857512855</v>
      </c>
      <c r="C190" s="13">
        <f t="shared" si="52"/>
        <v>65.508739084398783</v>
      </c>
      <c r="D190" s="13">
        <f t="shared" si="53"/>
        <v>-94.040514069766147</v>
      </c>
      <c r="E190" s="13">
        <f t="shared" si="54"/>
        <v>94.757901910674093</v>
      </c>
      <c r="F190" s="13">
        <f t="shared" si="55"/>
        <v>42.50972967185821</v>
      </c>
      <c r="G190" s="13">
        <f t="shared" si="56"/>
        <v>28.434814987446838</v>
      </c>
      <c r="H190" s="13">
        <f t="shared" si="57"/>
        <v>20.763809144499024</v>
      </c>
      <c r="I190" s="13">
        <f t="shared" si="58"/>
        <v>0</v>
      </c>
      <c r="J190" s="13">
        <f t="shared" si="59"/>
        <v>72.328115493522759</v>
      </c>
      <c r="K190" s="13">
        <f t="shared" si="60"/>
        <v>0.32867241040902773</v>
      </c>
      <c r="L190" s="13">
        <f t="shared" si="61"/>
        <v>0.1595466887382041</v>
      </c>
      <c r="M190" s="13">
        <f t="shared" si="62"/>
        <v>4.6990759968594</v>
      </c>
      <c r="N190" s="13">
        <f t="shared" si="63"/>
        <v>13.445253001149478</v>
      </c>
      <c r="O190" s="13">
        <f t="shared" si="42"/>
        <v>5.0563177524083152</v>
      </c>
      <c r="P190" s="13">
        <f t="shared" si="64"/>
        <v>0</v>
      </c>
      <c r="Q190" s="13">
        <f t="shared" si="65"/>
        <v>0</v>
      </c>
      <c r="R190" s="27">
        <f t="shared" si="66"/>
        <v>-18.960725113003143</v>
      </c>
      <c r="S190" s="12">
        <f t="shared" si="43"/>
        <v>2.3523947528660023</v>
      </c>
      <c r="T190" s="12">
        <f t="shared" si="44"/>
        <v>1.5329204151922595</v>
      </c>
      <c r="U190" s="12">
        <f t="shared" si="45"/>
        <v>1.4790859437954476</v>
      </c>
      <c r="V190" s="12">
        <f t="shared" si="46"/>
        <v>0</v>
      </c>
      <c r="W190" s="12">
        <f t="shared" si="47"/>
        <v>1.5705544499864039</v>
      </c>
      <c r="X190" s="12">
        <f t="shared" si="48"/>
        <v>0.27336766581348426</v>
      </c>
      <c r="Y190" s="12">
        <f t="shared" si="49"/>
        <v>1.5368565856183714</v>
      </c>
      <c r="Z190" s="12">
        <f t="shared" si="67"/>
        <v>0.97797037123228048</v>
      </c>
      <c r="AA190" s="12">
        <f t="shared" si="68"/>
        <v>0</v>
      </c>
      <c r="AB190" s="12">
        <f t="shared" si="69"/>
        <v>0</v>
      </c>
      <c r="AC190" s="12">
        <f t="shared" si="50"/>
        <v>-2.3523947528660023</v>
      </c>
      <c r="AD190" s="12">
        <f t="shared" si="70"/>
        <v>-211.94496467081811</v>
      </c>
    </row>
    <row r="191" spans="1:30" x14ac:dyDescent="0.25">
      <c r="A191" s="26">
        <f t="shared" si="72"/>
        <v>400000</v>
      </c>
      <c r="B191" s="12">
        <f t="shared" si="51"/>
        <v>2513274.1228718343</v>
      </c>
      <c r="C191" s="13">
        <f t="shared" si="52"/>
        <v>65.508739084398783</v>
      </c>
      <c r="D191" s="13">
        <f t="shared" si="53"/>
        <v>-123.13454898908232</v>
      </c>
      <c r="E191" s="13">
        <f t="shared" si="54"/>
        <v>104.17866448529557</v>
      </c>
      <c r="F191" s="13">
        <f t="shared" si="55"/>
        <v>44.152290268551241</v>
      </c>
      <c r="G191" s="13">
        <f t="shared" si="56"/>
        <v>29.593194148091946</v>
      </c>
      <c r="H191" s="13">
        <f t="shared" si="57"/>
        <v>21.915102497224986</v>
      </c>
      <c r="I191" s="13">
        <f t="shared" si="58"/>
        <v>0</v>
      </c>
      <c r="J191" s="13">
        <f t="shared" si="59"/>
        <v>73.487954373526179</v>
      </c>
      <c r="K191" s="13">
        <f t="shared" si="60"/>
        <v>0.42450822569743807</v>
      </c>
      <c r="L191" s="13">
        <f t="shared" si="61"/>
        <v>-9.7734937158264312E-2</v>
      </c>
      <c r="M191" s="13">
        <f t="shared" si="62"/>
        <v>5.3703725678393139</v>
      </c>
      <c r="N191" s="13">
        <f t="shared" si="63"/>
        <v>14.601526462535215</v>
      </c>
      <c r="O191" s="13">
        <f t="shared" ref="O191:O221" si="73">20*LOG10(SQRT(1+($B$84*B191)^2))</f>
        <v>5.8861997888327213</v>
      </c>
      <c r="P191" s="13">
        <f t="shared" si="64"/>
        <v>0</v>
      </c>
      <c r="Q191" s="13">
        <f t="shared" si="65"/>
        <v>0</v>
      </c>
      <c r="R191" s="27">
        <f t="shared" si="66"/>
        <v>-21.53544338942708</v>
      </c>
      <c r="S191" s="12">
        <f t="shared" ref="S191:S221" si="74">ATAN2(D191,E191)</f>
        <v>2.4393930271170299</v>
      </c>
      <c r="T191" s="12">
        <f t="shared" ref="T191:T221" si="75">ATAN($B$76*B191)</f>
        <v>1.5376511900703174</v>
      </c>
      <c r="U191" s="12">
        <f t="shared" ref="U191:U221" si="76">ATAN($B$77*B191)</f>
        <v>1.4904970385997902</v>
      </c>
      <c r="V191" s="12">
        <f t="shared" ref="V191:V221" si="77">ATAN($B$78*B191)</f>
        <v>0</v>
      </c>
      <c r="W191" s="12">
        <f t="shared" ref="W191:W221" si="78">ATAN($B$79*B191)</f>
        <v>1.5705846845864981</v>
      </c>
      <c r="X191" s="12">
        <f t="shared" ref="X191:X221" si="79">ATAN($B$80*B191)</f>
        <v>0.31010424518158225</v>
      </c>
      <c r="Y191" s="12">
        <f t="shared" ref="Y191:Y221" si="80">ATAN2(L191,M191)</f>
        <v>1.5889932299180187</v>
      </c>
      <c r="Z191" s="12">
        <f t="shared" si="67"/>
        <v>1.0381708694680509</v>
      </c>
      <c r="AA191" s="12">
        <f t="shared" si="68"/>
        <v>0</v>
      </c>
      <c r="AB191" s="12">
        <f t="shared" si="69"/>
        <v>0</v>
      </c>
      <c r="AC191" s="12">
        <f t="shared" ref="AC191:AC221" si="81">IF(-S191&gt;0,-S191-2*PI(),-S191)</f>
        <v>-2.4393930271170299</v>
      </c>
      <c r="AD191" s="12">
        <f t="shared" si="70"/>
        <v>-224.54776502043097</v>
      </c>
    </row>
    <row r="192" spans="1:30" x14ac:dyDescent="0.25">
      <c r="A192" s="26">
        <f t="shared" si="72"/>
        <v>450000</v>
      </c>
      <c r="B192" s="12">
        <f t="shared" si="51"/>
        <v>2827433.3882308137</v>
      </c>
      <c r="C192" s="13">
        <f t="shared" si="52"/>
        <v>65.508739084398783</v>
      </c>
      <c r="D192" s="13">
        <f t="shared" si="53"/>
        <v>-156.1077885643073</v>
      </c>
      <c r="E192" s="13">
        <f t="shared" si="54"/>
        <v>111.9529948377271</v>
      </c>
      <c r="F192" s="13">
        <f t="shared" si="55"/>
        <v>45.670630231099622</v>
      </c>
      <c r="G192" s="13">
        <f t="shared" si="56"/>
        <v>30.615243493831269</v>
      </c>
      <c r="H192" s="13">
        <f t="shared" si="57"/>
        <v>22.932284388743426</v>
      </c>
      <c r="I192" s="13">
        <f t="shared" si="58"/>
        <v>0</v>
      </c>
      <c r="J192" s="13">
        <f t="shared" si="59"/>
        <v>74.511004781646307</v>
      </c>
      <c r="K192" s="13">
        <f t="shared" si="60"/>
        <v>0.5306254447913723</v>
      </c>
      <c r="L192" s="13">
        <f t="shared" si="61"/>
        <v>-0.38932077984092817</v>
      </c>
      <c r="M192" s="13">
        <f t="shared" si="62"/>
        <v>6.0416691388192287</v>
      </c>
      <c r="N192" s="13">
        <f t="shared" si="63"/>
        <v>15.641135157804966</v>
      </c>
      <c r="O192" s="13">
        <f t="shared" si="73"/>
        <v>6.6676185973101543</v>
      </c>
      <c r="P192" s="13">
        <f t="shared" si="64"/>
        <v>0</v>
      </c>
      <c r="Q192" s="13">
        <f t="shared" si="65"/>
        <v>0</v>
      </c>
      <c r="R192" s="27">
        <f t="shared" si="66"/>
        <v>-23.964747245678936</v>
      </c>
      <c r="S192" s="12">
        <f t="shared" si="74"/>
        <v>2.5194478693648477</v>
      </c>
      <c r="T192" s="12">
        <f t="shared" si="75"/>
        <v>1.5413317188426927</v>
      </c>
      <c r="U192" s="12">
        <f t="shared" si="76"/>
        <v>1.4993869994137352</v>
      </c>
      <c r="V192" s="12">
        <f t="shared" si="77"/>
        <v>0</v>
      </c>
      <c r="W192" s="12">
        <f t="shared" si="78"/>
        <v>1.5706082003868418</v>
      </c>
      <c r="X192" s="12">
        <f t="shared" si="79"/>
        <v>0.34599615956432911</v>
      </c>
      <c r="Y192" s="12">
        <f t="shared" si="80"/>
        <v>1.6351466304992515</v>
      </c>
      <c r="Z192" s="12">
        <f t="shared" si="67"/>
        <v>1.0881689864165611</v>
      </c>
      <c r="AA192" s="12">
        <f t="shared" si="68"/>
        <v>0</v>
      </c>
      <c r="AB192" s="12">
        <f t="shared" si="69"/>
        <v>0</v>
      </c>
      <c r="AC192" s="12">
        <f t="shared" si="81"/>
        <v>-2.5194478693648477</v>
      </c>
      <c r="AD192" s="12">
        <f t="shared" si="70"/>
        <v>-235.98121232822749</v>
      </c>
    </row>
    <row r="193" spans="1:30" x14ac:dyDescent="0.25">
      <c r="A193" s="26">
        <f t="shared" si="72"/>
        <v>500000</v>
      </c>
      <c r="B193" s="12">
        <f t="shared" si="51"/>
        <v>3141592.653589793</v>
      </c>
      <c r="C193" s="13">
        <f t="shared" si="52"/>
        <v>65.508739084398783</v>
      </c>
      <c r="D193" s="13">
        <f t="shared" si="53"/>
        <v>-192.96023279544116</v>
      </c>
      <c r="E193" s="13">
        <f t="shared" si="54"/>
        <v>117.87508894019498</v>
      </c>
      <c r="F193" s="13">
        <f t="shared" si="55"/>
        <v>47.086604017396951</v>
      </c>
      <c r="G193" s="13">
        <f t="shared" si="56"/>
        <v>31.529677080213766</v>
      </c>
      <c r="H193" s="13">
        <f t="shared" si="57"/>
        <v>23.843231585141726</v>
      </c>
      <c r="I193" s="13">
        <f t="shared" si="58"/>
        <v>0</v>
      </c>
      <c r="J193" s="13">
        <f t="shared" si="59"/>
        <v>75.426154563656127</v>
      </c>
      <c r="K193" s="13">
        <f t="shared" si="60"/>
        <v>0.64623722017526664</v>
      </c>
      <c r="L193" s="13">
        <f t="shared" si="61"/>
        <v>-0.71521083930978779</v>
      </c>
      <c r="M193" s="13">
        <f t="shared" si="62"/>
        <v>6.7129657097991426</v>
      </c>
      <c r="N193" s="13">
        <f t="shared" si="63"/>
        <v>16.587308240986836</v>
      </c>
      <c r="O193" s="13">
        <f t="shared" si="73"/>
        <v>7.401292810492885</v>
      </c>
      <c r="P193" s="13">
        <f t="shared" si="64"/>
        <v>0</v>
      </c>
      <c r="Q193" s="13">
        <f t="shared" si="65"/>
        <v>0</v>
      </c>
      <c r="R193" s="27">
        <f t="shared" si="66"/>
        <v>-26.265949102953783</v>
      </c>
      <c r="S193" s="12">
        <f t="shared" si="74"/>
        <v>2.5932132668816701</v>
      </c>
      <c r="T193" s="12">
        <f t="shared" si="75"/>
        <v>1.5442767216818938</v>
      </c>
      <c r="U193" s="12">
        <f t="shared" si="76"/>
        <v>1.5065071854549235</v>
      </c>
      <c r="V193" s="12">
        <f t="shared" si="77"/>
        <v>0</v>
      </c>
      <c r="W193" s="12">
        <f t="shared" si="78"/>
        <v>1.5706270130272679</v>
      </c>
      <c r="X193" s="12">
        <f t="shared" si="79"/>
        <v>0.38098306490149642</v>
      </c>
      <c r="Y193" s="12">
        <f t="shared" si="80"/>
        <v>1.6769376361569932</v>
      </c>
      <c r="Z193" s="12">
        <f t="shared" si="67"/>
        <v>1.1301589665002609</v>
      </c>
      <c r="AA193" s="12">
        <f t="shared" si="68"/>
        <v>0</v>
      </c>
      <c r="AB193" s="12">
        <f t="shared" si="69"/>
        <v>0</v>
      </c>
      <c r="AC193" s="12">
        <f t="shared" si="81"/>
        <v>-2.5932132668816701</v>
      </c>
      <c r="AD193" s="12">
        <f t="shared" si="70"/>
        <v>-246.43694222256957</v>
      </c>
    </row>
    <row r="194" spans="1:30" x14ac:dyDescent="0.25">
      <c r="A194" s="26">
        <f t="shared" si="72"/>
        <v>550000</v>
      </c>
      <c r="B194" s="12">
        <f t="shared" si="51"/>
        <v>3455751.9189487724</v>
      </c>
      <c r="C194" s="13">
        <f t="shared" si="52"/>
        <v>65.508739084398783</v>
      </c>
      <c r="D194" s="13">
        <f t="shared" si="53"/>
        <v>-233.69188168248377</v>
      </c>
      <c r="E194" s="13">
        <f t="shared" si="54"/>
        <v>121.73914276492545</v>
      </c>
      <c r="F194" s="13">
        <f t="shared" si="55"/>
        <v>48.415616421992269</v>
      </c>
      <c r="G194" s="13">
        <f t="shared" si="56"/>
        <v>32.357000781965198</v>
      </c>
      <c r="H194" s="13">
        <f t="shared" si="57"/>
        <v>24.66797320888432</v>
      </c>
      <c r="I194" s="13">
        <f t="shared" si="58"/>
        <v>0</v>
      </c>
      <c r="J194" s="13">
        <f t="shared" si="59"/>
        <v>76.254008245213228</v>
      </c>
      <c r="K194" s="13">
        <f t="shared" si="60"/>
        <v>0.77053695129466904</v>
      </c>
      <c r="L194" s="13">
        <f t="shared" si="61"/>
        <v>-1.0754051155648434</v>
      </c>
      <c r="M194" s="13">
        <f t="shared" si="62"/>
        <v>7.3842622807790574</v>
      </c>
      <c r="N194" s="13">
        <f t="shared" si="63"/>
        <v>17.457290645560956</v>
      </c>
      <c r="O194" s="13">
        <f t="shared" si="73"/>
        <v>8.0898190589352801</v>
      </c>
      <c r="P194" s="13">
        <f t="shared" si="64"/>
        <v>0</v>
      </c>
      <c r="Q194" s="13">
        <f t="shared" si="65"/>
        <v>0</v>
      </c>
      <c r="R194" s="27">
        <f t="shared" si="66"/>
        <v>-28.453558247748102</v>
      </c>
      <c r="S194" s="12">
        <f t="shared" si="74"/>
        <v>2.6613347520674728</v>
      </c>
      <c r="T194" s="12">
        <f t="shared" si="75"/>
        <v>1.5466866140482387</v>
      </c>
      <c r="U194" s="12">
        <f t="shared" si="76"/>
        <v>1.5123376840007237</v>
      </c>
      <c r="V194" s="12">
        <f t="shared" si="77"/>
        <v>0</v>
      </c>
      <c r="W194" s="12">
        <f t="shared" si="78"/>
        <v>1.5706424051877061</v>
      </c>
      <c r="X194" s="12">
        <f t="shared" si="79"/>
        <v>0.41501645334476878</v>
      </c>
      <c r="Y194" s="12">
        <f t="shared" si="80"/>
        <v>1.7154143615539228</v>
      </c>
      <c r="Z194" s="12">
        <f t="shared" si="67"/>
        <v>1.1658040788179755</v>
      </c>
      <c r="AA194" s="12">
        <f t="shared" si="68"/>
        <v>0</v>
      </c>
      <c r="AB194" s="12">
        <f t="shared" si="69"/>
        <v>0</v>
      </c>
      <c r="AC194" s="12">
        <f t="shared" si="81"/>
        <v>-2.6613347520674728</v>
      </c>
      <c r="AD194" s="12">
        <f t="shared" si="70"/>
        <v>-256.0655960940374</v>
      </c>
    </row>
    <row r="195" spans="1:30" x14ac:dyDescent="0.25">
      <c r="A195" s="26">
        <f t="shared" si="72"/>
        <v>600000</v>
      </c>
      <c r="B195" s="12">
        <f t="shared" si="51"/>
        <v>3769911.1843077517</v>
      </c>
      <c r="C195" s="13">
        <f t="shared" si="52"/>
        <v>65.508739084398783</v>
      </c>
      <c r="D195" s="13">
        <f t="shared" si="53"/>
        <v>-278.30273522543524</v>
      </c>
      <c r="E195" s="13">
        <f t="shared" si="54"/>
        <v>123.33935228414477</v>
      </c>
      <c r="F195" s="13">
        <f t="shared" si="55"/>
        <v>49.669157687690657</v>
      </c>
      <c r="G195" s="13">
        <f t="shared" si="56"/>
        <v>33.112368846902996</v>
      </c>
      <c r="H195" s="13">
        <f t="shared" si="57"/>
        <v>25.421375941047231</v>
      </c>
      <c r="I195" s="13">
        <f t="shared" si="58"/>
        <v>0</v>
      </c>
      <c r="J195" s="13">
        <f t="shared" si="59"/>
        <v>77.009779446567009</v>
      </c>
      <c r="K195" s="13">
        <f t="shared" si="60"/>
        <v>0.90271307151490143</v>
      </c>
      <c r="L195" s="13">
        <f t="shared" si="61"/>
        <v>-1.4699036086060948</v>
      </c>
      <c r="M195" s="13">
        <f t="shared" si="62"/>
        <v>8.0555588517589722</v>
      </c>
      <c r="N195" s="13">
        <f t="shared" si="63"/>
        <v>18.264159141856588</v>
      </c>
      <c r="O195" s="13">
        <f t="shared" si="73"/>
        <v>8.7365445560364599</v>
      </c>
      <c r="P195" s="13">
        <f t="shared" si="64"/>
        <v>0</v>
      </c>
      <c r="Q195" s="13">
        <f t="shared" si="65"/>
        <v>0</v>
      </c>
      <c r="R195" s="27">
        <f t="shared" si="66"/>
        <v>-30.539870031316607</v>
      </c>
      <c r="S195" s="12">
        <f t="shared" si="74"/>
        <v>2.7244212535669576</v>
      </c>
      <c r="T195" s="12">
        <f t="shared" si="75"/>
        <v>1.5486950728570752</v>
      </c>
      <c r="U195" s="12">
        <f t="shared" si="76"/>
        <v>1.5171994911046318</v>
      </c>
      <c r="V195" s="12">
        <f t="shared" si="77"/>
        <v>0</v>
      </c>
      <c r="W195" s="12">
        <f t="shared" si="78"/>
        <v>1.5706552319881273</v>
      </c>
      <c r="X195" s="12">
        <f t="shared" si="79"/>
        <v>0.44805923405360698</v>
      </c>
      <c r="Y195" s="12">
        <f t="shared" si="80"/>
        <v>1.7512814091167093</v>
      </c>
      <c r="Z195" s="12">
        <f t="shared" si="67"/>
        <v>1.1963682799346327</v>
      </c>
      <c r="AA195" s="12">
        <f t="shared" si="68"/>
        <v>0</v>
      </c>
      <c r="AB195" s="12">
        <f t="shared" si="69"/>
        <v>0</v>
      </c>
      <c r="AC195" s="12">
        <f t="shared" si="81"/>
        <v>-2.7244212535669576</v>
      </c>
      <c r="AD195" s="12">
        <f t="shared" si="70"/>
        <v>-264.98672610990843</v>
      </c>
    </row>
    <row r="196" spans="1:30" x14ac:dyDescent="0.25">
      <c r="A196" s="26">
        <f t="shared" si="72"/>
        <v>650000</v>
      </c>
      <c r="B196" s="12">
        <f t="shared" si="51"/>
        <v>4084070.4496667311</v>
      </c>
      <c r="C196" s="13">
        <f t="shared" si="52"/>
        <v>65.508739084398783</v>
      </c>
      <c r="D196" s="13">
        <f t="shared" si="53"/>
        <v>-326.79279342429555</v>
      </c>
      <c r="E196" s="13">
        <f t="shared" si="54"/>
        <v>122.46991347007918</v>
      </c>
      <c r="F196" s="13">
        <f t="shared" si="55"/>
        <v>50.856202226329387</v>
      </c>
      <c r="G196" s="13">
        <f t="shared" si="56"/>
        <v>33.807297198473691</v>
      </c>
      <c r="H196" s="13">
        <f t="shared" si="57"/>
        <v>26.114773933294284</v>
      </c>
      <c r="I196" s="13">
        <f t="shared" si="58"/>
        <v>0</v>
      </c>
      <c r="J196" s="13">
        <f t="shared" si="59"/>
        <v>77.705021558961562</v>
      </c>
      <c r="K196" s="13">
        <f t="shared" si="60"/>
        <v>1.0419620682471811</v>
      </c>
      <c r="L196" s="13">
        <f t="shared" si="61"/>
        <v>-1.898706318433542</v>
      </c>
      <c r="M196" s="13">
        <f t="shared" si="62"/>
        <v>8.7268554227388861</v>
      </c>
      <c r="N196" s="13">
        <f t="shared" si="63"/>
        <v>19.018019768999523</v>
      </c>
      <c r="O196" s="13">
        <f t="shared" si="73"/>
        <v>9.3449874470960523</v>
      </c>
      <c r="P196" s="13">
        <f t="shared" si="64"/>
        <v>0</v>
      </c>
      <c r="Q196" s="13">
        <f t="shared" si="65"/>
        <v>0</v>
      </c>
      <c r="R196" s="27">
        <f t="shared" si="66"/>
        <v>-32.535382853466942</v>
      </c>
      <c r="S196" s="12">
        <f t="shared" si="74"/>
        <v>2.7830296036998319</v>
      </c>
      <c r="T196" s="12">
        <f t="shared" si="75"/>
        <v>1.5503946779569004</v>
      </c>
      <c r="U196" s="12">
        <f t="shared" si="76"/>
        <v>1.521315318967605</v>
      </c>
      <c r="V196" s="12">
        <f t="shared" si="77"/>
        <v>0</v>
      </c>
      <c r="W196" s="12">
        <f t="shared" si="78"/>
        <v>1.5706660854346741</v>
      </c>
      <c r="X196" s="12">
        <f t="shared" si="79"/>
        <v>0.48008507499483116</v>
      </c>
      <c r="Y196" s="12">
        <f t="shared" si="80"/>
        <v>1.7850281154608509</v>
      </c>
      <c r="Z196" s="12">
        <f t="shared" si="67"/>
        <v>1.2228190093379694</v>
      </c>
      <c r="AA196" s="12">
        <f t="shared" si="68"/>
        <v>0</v>
      </c>
      <c r="AB196" s="12">
        <f t="shared" si="69"/>
        <v>0</v>
      </c>
      <c r="AC196" s="12">
        <f t="shared" si="81"/>
        <v>-2.7830296036998319</v>
      </c>
      <c r="AD196" s="12">
        <f t="shared" si="70"/>
        <v>-273.29616383574768</v>
      </c>
    </row>
    <row r="197" spans="1:30" x14ac:dyDescent="0.25">
      <c r="A197" s="26">
        <f t="shared" si="72"/>
        <v>700000</v>
      </c>
      <c r="B197" s="12">
        <f t="shared" si="51"/>
        <v>4398229.7150257099</v>
      </c>
      <c r="C197" s="13">
        <f t="shared" si="52"/>
        <v>65.508739084398783</v>
      </c>
      <c r="D197" s="13">
        <f t="shared" si="53"/>
        <v>-379.16205627906459</v>
      </c>
      <c r="E197" s="13">
        <f t="shared" si="54"/>
        <v>118.92502229495496</v>
      </c>
      <c r="F197" s="13">
        <f t="shared" si="55"/>
        <v>51.984014537564896</v>
      </c>
      <c r="G197" s="13">
        <f t="shared" si="56"/>
        <v>34.450741880013368</v>
      </c>
      <c r="H197" s="13">
        <f t="shared" si="57"/>
        <v>26.75700378030718</v>
      </c>
      <c r="I197" s="13">
        <f t="shared" si="58"/>
        <v>0</v>
      </c>
      <c r="J197" s="13">
        <f t="shared" si="59"/>
        <v>78.348715216241374</v>
      </c>
      <c r="K197" s="13">
        <f t="shared" si="60"/>
        <v>1.1874995276636771</v>
      </c>
      <c r="L197" s="13">
        <f t="shared" si="61"/>
        <v>-2.3618132450471836</v>
      </c>
      <c r="M197" s="13">
        <f t="shared" si="62"/>
        <v>9.3981519937188001</v>
      </c>
      <c r="N197" s="13">
        <f t="shared" si="63"/>
        <v>19.726814222266359</v>
      </c>
      <c r="O197" s="13">
        <f t="shared" si="73"/>
        <v>9.9185525467593649</v>
      </c>
      <c r="P197" s="13">
        <f t="shared" si="64"/>
        <v>0</v>
      </c>
      <c r="Q197" s="13">
        <f t="shared" si="65"/>
        <v>0</v>
      </c>
      <c r="R197" s="27">
        <f t="shared" si="66"/>
        <v>-34.449111305776341</v>
      </c>
      <c r="S197" s="12">
        <f t="shared" si="74"/>
        <v>2.8376584166540475</v>
      </c>
      <c r="T197" s="12">
        <f t="shared" si="75"/>
        <v>1.5518515765316889</v>
      </c>
      <c r="U197" s="12">
        <f t="shared" si="76"/>
        <v>1.5248445125945826</v>
      </c>
      <c r="V197" s="12">
        <f t="shared" si="77"/>
        <v>0</v>
      </c>
      <c r="W197" s="12">
        <f t="shared" si="78"/>
        <v>1.5706753883888815</v>
      </c>
      <c r="X197" s="12">
        <f t="shared" si="79"/>
        <v>0.51107756756101985</v>
      </c>
      <c r="Y197" s="12">
        <f t="shared" si="80"/>
        <v>1.8170039142873853</v>
      </c>
      <c r="Z197" s="12">
        <f t="shared" si="67"/>
        <v>1.2459037597746914</v>
      </c>
      <c r="AA197" s="12">
        <f t="shared" si="68"/>
        <v>0</v>
      </c>
      <c r="AB197" s="12">
        <f t="shared" si="69"/>
        <v>0</v>
      </c>
      <c r="AC197" s="12">
        <f t="shared" si="81"/>
        <v>-2.8376584166540475</v>
      </c>
      <c r="AD197" s="12">
        <f t="shared" si="70"/>
        <v>-281.07149134951254</v>
      </c>
    </row>
    <row r="198" spans="1:30" x14ac:dyDescent="0.25">
      <c r="A198" s="26">
        <f t="shared" si="72"/>
        <v>750000</v>
      </c>
      <c r="B198" s="12">
        <f t="shared" si="51"/>
        <v>4712388.9803846898</v>
      </c>
      <c r="C198" s="13">
        <f t="shared" si="52"/>
        <v>65.508739084398783</v>
      </c>
      <c r="D198" s="13">
        <f t="shared" si="53"/>
        <v>-435.41052378974257</v>
      </c>
      <c r="E198" s="13">
        <f t="shared" si="54"/>
        <v>112.49887473099835</v>
      </c>
      <c r="F198" s="13">
        <f t="shared" si="55"/>
        <v>53.05863451158455</v>
      </c>
      <c r="G198" s="13">
        <f t="shared" si="56"/>
        <v>35.049805468049144</v>
      </c>
      <c r="H198" s="13">
        <f t="shared" si="57"/>
        <v>27.35508695255486</v>
      </c>
      <c r="I198" s="13">
        <f t="shared" si="58"/>
        <v>0</v>
      </c>
      <c r="J198" s="13">
        <f t="shared" si="59"/>
        <v>78.947979675603165</v>
      </c>
      <c r="K198" s="13">
        <f t="shared" si="60"/>
        <v>1.3385691333391487</v>
      </c>
      <c r="L198" s="13">
        <f t="shared" si="61"/>
        <v>-2.8592243884470228</v>
      </c>
      <c r="M198" s="13">
        <f t="shared" si="62"/>
        <v>10.069448564698714</v>
      </c>
      <c r="N198" s="13">
        <f t="shared" si="63"/>
        <v>20.396875335154981</v>
      </c>
      <c r="O198" s="13">
        <f t="shared" si="73"/>
        <v>10.460403776990804</v>
      </c>
      <c r="P198" s="13">
        <f t="shared" si="64"/>
        <v>0</v>
      </c>
      <c r="Q198" s="13">
        <f t="shared" si="65"/>
        <v>0</v>
      </c>
      <c r="R198" s="27">
        <f t="shared" si="66"/>
        <v>-36.288830927669856</v>
      </c>
      <c r="S198" s="12">
        <f t="shared" si="74"/>
        <v>2.8887479896788681</v>
      </c>
      <c r="T198" s="12">
        <f t="shared" si="75"/>
        <v>1.5531142872494992</v>
      </c>
      <c r="U198" s="12">
        <f t="shared" si="76"/>
        <v>1.5279040770818533</v>
      </c>
      <c r="V198" s="12">
        <f t="shared" si="77"/>
        <v>0</v>
      </c>
      <c r="W198" s="12">
        <f t="shared" si="78"/>
        <v>1.5706834509492116</v>
      </c>
      <c r="X198" s="12">
        <f t="shared" si="79"/>
        <v>0.54102927334221107</v>
      </c>
      <c r="Y198" s="12">
        <f t="shared" si="80"/>
        <v>1.847464505307391</v>
      </c>
      <c r="Z198" s="12">
        <f t="shared" si="67"/>
        <v>1.2662060779162452</v>
      </c>
      <c r="AA198" s="12">
        <f t="shared" si="68"/>
        <v>0</v>
      </c>
      <c r="AB198" s="12">
        <f t="shared" si="69"/>
        <v>0</v>
      </c>
      <c r="AC198" s="12">
        <f t="shared" si="81"/>
        <v>-2.8887479896788681</v>
      </c>
      <c r="AD198" s="12">
        <f t="shared" si="70"/>
        <v>-288.3761288657372</v>
      </c>
    </row>
    <row r="199" spans="1:30" x14ac:dyDescent="0.25">
      <c r="A199" s="26">
        <f t="shared" si="72"/>
        <v>800000</v>
      </c>
      <c r="B199" s="12">
        <f t="shared" si="51"/>
        <v>5026548.2457436686</v>
      </c>
      <c r="C199" s="13">
        <f t="shared" si="52"/>
        <v>65.508739084398783</v>
      </c>
      <c r="D199" s="13">
        <f t="shared" si="53"/>
        <v>-495.53819595632928</v>
      </c>
      <c r="E199" s="13">
        <f t="shared" si="54"/>
        <v>102.98566675043566</v>
      </c>
      <c r="F199" s="13">
        <f t="shared" si="55"/>
        <v>54.085183524889622</v>
      </c>
      <c r="G199" s="13">
        <f t="shared" si="56"/>
        <v>35.610215527977836</v>
      </c>
      <c r="H199" s="13">
        <f t="shared" si="57"/>
        <v>27.914694381759688</v>
      </c>
      <c r="I199" s="13">
        <f t="shared" si="58"/>
        <v>0</v>
      </c>
      <c r="J199" s="13">
        <f t="shared" si="59"/>
        <v>79.50855414090752</v>
      </c>
      <c r="K199" s="13">
        <f t="shared" si="60"/>
        <v>1.4944496613199689</v>
      </c>
      <c r="L199" s="13">
        <f t="shared" si="61"/>
        <v>-3.3909397486330572</v>
      </c>
      <c r="M199" s="13">
        <f t="shared" si="62"/>
        <v>10.740745135678628</v>
      </c>
      <c r="N199" s="13">
        <f t="shared" si="63"/>
        <v>21.033318223957057</v>
      </c>
      <c r="O199" s="13">
        <f t="shared" si="73"/>
        <v>10.973418287971455</v>
      </c>
      <c r="P199" s="13">
        <f t="shared" si="64"/>
        <v>0</v>
      </c>
      <c r="Q199" s="13">
        <f t="shared" si="65"/>
        <v>0</v>
      </c>
      <c r="R199" s="27">
        <f t="shared" si="66"/>
        <v>-38.06127484490932</v>
      </c>
      <c r="S199" s="12">
        <f t="shared" si="74"/>
        <v>2.9366836483996197</v>
      </c>
      <c r="T199" s="12">
        <f t="shared" si="75"/>
        <v>1.5542192055259754</v>
      </c>
      <c r="U199" s="12">
        <f t="shared" si="76"/>
        <v>1.5305818572619247</v>
      </c>
      <c r="V199" s="12">
        <f t="shared" si="77"/>
        <v>0</v>
      </c>
      <c r="W199" s="12">
        <f t="shared" si="78"/>
        <v>1.5706905056895124</v>
      </c>
      <c r="X199" s="12">
        <f t="shared" si="79"/>
        <v>0.56994070658804885</v>
      </c>
      <c r="Y199" s="12">
        <f t="shared" si="80"/>
        <v>1.8766011602124395</v>
      </c>
      <c r="Z199" s="12">
        <f t="shared" si="67"/>
        <v>1.2841863354276799</v>
      </c>
      <c r="AA199" s="12">
        <f t="shared" si="68"/>
        <v>0</v>
      </c>
      <c r="AB199" s="12">
        <f t="shared" si="69"/>
        <v>0</v>
      </c>
      <c r="AC199" s="12">
        <f t="shared" si="81"/>
        <v>-2.9366836483996197</v>
      </c>
      <c r="AD199" s="12">
        <f t="shared" si="70"/>
        <v>-295.26241467854248</v>
      </c>
    </row>
    <row r="200" spans="1:30" x14ac:dyDescent="0.25">
      <c r="A200" s="26">
        <f t="shared" si="72"/>
        <v>850000</v>
      </c>
      <c r="B200" s="12">
        <f t="shared" si="51"/>
        <v>5340707.5111026485</v>
      </c>
      <c r="C200" s="13">
        <f t="shared" si="52"/>
        <v>65.508739084398783</v>
      </c>
      <c r="D200" s="13">
        <f t="shared" si="53"/>
        <v>-559.54507277882487</v>
      </c>
      <c r="E200" s="13">
        <f t="shared" si="54"/>
        <v>90.179594325493099</v>
      </c>
      <c r="F200" s="13">
        <f t="shared" si="55"/>
        <v>55.068066982861893</v>
      </c>
      <c r="G200" s="13">
        <f t="shared" si="56"/>
        <v>36.136658037001766</v>
      </c>
      <c r="H200" s="13">
        <f t="shared" si="57"/>
        <v>28.440471531579643</v>
      </c>
      <c r="I200" s="13">
        <f t="shared" si="58"/>
        <v>0</v>
      </c>
      <c r="J200" s="13">
        <f t="shared" si="59"/>
        <v>80.035132909801291</v>
      </c>
      <c r="K200" s="13">
        <f t="shared" si="60"/>
        <v>1.6544600994003111</v>
      </c>
      <c r="L200" s="13">
        <f t="shared" si="61"/>
        <v>-3.956959325605288</v>
      </c>
      <c r="M200" s="13">
        <f t="shared" si="62"/>
        <v>11.412041706658544</v>
      </c>
      <c r="N200" s="13">
        <f t="shared" si="63"/>
        <v>21.640321418595253</v>
      </c>
      <c r="O200" s="13">
        <f t="shared" si="73"/>
        <v>11.460181962152651</v>
      </c>
      <c r="P200" s="13">
        <f t="shared" si="64"/>
        <v>0</v>
      </c>
      <c r="Q200" s="13">
        <f t="shared" si="65"/>
        <v>0</v>
      </c>
      <c r="R200" s="27">
        <f t="shared" si="66"/>
        <v>-39.772294719831201</v>
      </c>
      <c r="S200" s="12">
        <f t="shared" si="74"/>
        <v>2.9818007848352823</v>
      </c>
      <c r="T200" s="12">
        <f t="shared" si="75"/>
        <v>1.5551941671225078</v>
      </c>
      <c r="U200" s="12">
        <f t="shared" si="76"/>
        <v>1.5329450850193338</v>
      </c>
      <c r="V200" s="12">
        <f t="shared" si="77"/>
        <v>0</v>
      </c>
      <c r="W200" s="12">
        <f t="shared" si="78"/>
        <v>1.5706967304603749</v>
      </c>
      <c r="X200" s="12">
        <f t="shared" si="79"/>
        <v>0.59781929804751122</v>
      </c>
      <c r="Y200" s="12">
        <f t="shared" si="80"/>
        <v>1.9045598988531003</v>
      </c>
      <c r="Z200" s="12">
        <f t="shared" si="67"/>
        <v>1.3002114884681719</v>
      </c>
      <c r="AA200" s="12">
        <f t="shared" si="68"/>
        <v>0</v>
      </c>
      <c r="AB200" s="12">
        <f t="shared" si="69"/>
        <v>0</v>
      </c>
      <c r="AC200" s="12">
        <f t="shared" si="81"/>
        <v>-2.9818007848352823</v>
      </c>
      <c r="AD200" s="12">
        <f t="shared" si="70"/>
        <v>-301.77394566121166</v>
      </c>
    </row>
    <row r="201" spans="1:30" x14ac:dyDescent="0.25">
      <c r="A201" s="26">
        <f t="shared" si="72"/>
        <v>900000</v>
      </c>
      <c r="B201" s="12">
        <f t="shared" si="51"/>
        <v>5654866.7764616273</v>
      </c>
      <c r="C201" s="13">
        <f t="shared" si="52"/>
        <v>65.508739084398783</v>
      </c>
      <c r="D201" s="13">
        <f t="shared" si="53"/>
        <v>-627.4311542572292</v>
      </c>
      <c r="E201" s="13">
        <f t="shared" si="54"/>
        <v>73.874853428396875</v>
      </c>
      <c r="F201" s="13">
        <f t="shared" si="55"/>
        <v>56.011114856775251</v>
      </c>
      <c r="G201" s="13">
        <f t="shared" si="56"/>
        <v>36.633015516459643</v>
      </c>
      <c r="H201" s="13">
        <f t="shared" si="57"/>
        <v>28.936271322874042</v>
      </c>
      <c r="I201" s="13">
        <f t="shared" si="58"/>
        <v>0</v>
      </c>
      <c r="J201" s="13">
        <f t="shared" si="59"/>
        <v>80.531604579648274</v>
      </c>
      <c r="K201" s="13">
        <f t="shared" si="60"/>
        <v>1.8179630761863133</v>
      </c>
      <c r="L201" s="13">
        <f t="shared" si="61"/>
        <v>-4.5572831193637127</v>
      </c>
      <c r="M201" s="13">
        <f t="shared" si="62"/>
        <v>12.083338277638457</v>
      </c>
      <c r="N201" s="13">
        <f t="shared" si="63"/>
        <v>22.22133275699052</v>
      </c>
      <c r="O201" s="13">
        <f t="shared" si="73"/>
        <v>11.923004764929688</v>
      </c>
      <c r="P201" s="13">
        <f t="shared" si="64"/>
        <v>0</v>
      </c>
      <c r="Q201" s="13">
        <f t="shared" si="65"/>
        <v>0</v>
      </c>
      <c r="R201" s="27">
        <f t="shared" si="66"/>
        <v>-41.42699411079758</v>
      </c>
      <c r="S201" s="12">
        <f t="shared" si="74"/>
        <v>3.0243904937876049</v>
      </c>
      <c r="T201" s="12">
        <f t="shared" si="75"/>
        <v>1.5560608246139414</v>
      </c>
      <c r="U201" s="12">
        <f t="shared" si="76"/>
        <v>1.5350460878969654</v>
      </c>
      <c r="V201" s="12">
        <f t="shared" si="77"/>
        <v>0</v>
      </c>
      <c r="W201" s="12">
        <f t="shared" si="78"/>
        <v>1.570702263590037</v>
      </c>
      <c r="X201" s="12">
        <f t="shared" si="79"/>
        <v>0.62467837709400542</v>
      </c>
      <c r="Y201" s="12">
        <f t="shared" si="80"/>
        <v>1.93145436883345</v>
      </c>
      <c r="Z201" s="12">
        <f t="shared" si="67"/>
        <v>1.3145769376748451</v>
      </c>
      <c r="AA201" s="12">
        <f t="shared" si="68"/>
        <v>0</v>
      </c>
      <c r="AB201" s="12">
        <f t="shared" si="69"/>
        <v>0</v>
      </c>
      <c r="AC201" s="12">
        <f t="shared" si="81"/>
        <v>-3.0243904937876049</v>
      </c>
      <c r="AD201" s="12">
        <f t="shared" si="70"/>
        <v>-307.94736994911136</v>
      </c>
    </row>
    <row r="202" spans="1:30" x14ac:dyDescent="0.25">
      <c r="A202" s="26">
        <f t="shared" si="72"/>
        <v>950000</v>
      </c>
      <c r="B202" s="12">
        <f t="shared" si="51"/>
        <v>5969026.0418206071</v>
      </c>
      <c r="C202" s="13">
        <f t="shared" si="52"/>
        <v>65.508739084398783</v>
      </c>
      <c r="D202" s="13">
        <f t="shared" si="53"/>
        <v>-699.19644039154252</v>
      </c>
      <c r="E202" s="13">
        <f t="shared" si="54"/>
        <v>53.865640031373346</v>
      </c>
      <c r="F202" s="13">
        <f t="shared" si="55"/>
        <v>56.917683629147604</v>
      </c>
      <c r="G202" s="13">
        <f t="shared" si="56"/>
        <v>37.102540787843992</v>
      </c>
      <c r="H202" s="13">
        <f t="shared" si="57"/>
        <v>29.405324543914169</v>
      </c>
      <c r="I202" s="13">
        <f t="shared" si="58"/>
        <v>0</v>
      </c>
      <c r="J202" s="13">
        <f t="shared" si="59"/>
        <v>81.00122649270034</v>
      </c>
      <c r="K202" s="13">
        <f t="shared" si="60"/>
        <v>1.9843668187046002</v>
      </c>
      <c r="L202" s="13">
        <f t="shared" si="61"/>
        <v>-5.1919111299083349</v>
      </c>
      <c r="M202" s="13">
        <f t="shared" si="62"/>
        <v>12.754634848618373</v>
      </c>
      <c r="N202" s="13">
        <f t="shared" si="63"/>
        <v>22.77922277728414</v>
      </c>
      <c r="O202" s="13">
        <f t="shared" si="73"/>
        <v>12.36394453374392</v>
      </c>
      <c r="P202" s="13">
        <f t="shared" si="64"/>
        <v>0</v>
      </c>
      <c r="Q202" s="13">
        <f t="shared" si="65"/>
        <v>0</v>
      </c>
      <c r="R202" s="27">
        <f t="shared" si="66"/>
        <v>-43.029839835423651</v>
      </c>
      <c r="S202" s="12">
        <f t="shared" si="74"/>
        <v>3.0647051731766761</v>
      </c>
      <c r="T202" s="12">
        <f t="shared" si="75"/>
        <v>1.5568362738046253</v>
      </c>
      <c r="U202" s="12">
        <f t="shared" si="76"/>
        <v>1.5369262008130569</v>
      </c>
      <c r="V202" s="12">
        <f t="shared" si="77"/>
        <v>0</v>
      </c>
      <c r="W202" s="12">
        <f t="shared" si="78"/>
        <v>1.5707072142850027</v>
      </c>
      <c r="X202" s="12">
        <f t="shared" si="79"/>
        <v>0.65053620023133141</v>
      </c>
      <c r="Y202" s="12">
        <f t="shared" si="80"/>
        <v>1.9573746922516522</v>
      </c>
      <c r="Z202" s="12">
        <f t="shared" si="67"/>
        <v>1.3275227192680803</v>
      </c>
      <c r="AA202" s="12">
        <f t="shared" si="68"/>
        <v>0</v>
      </c>
      <c r="AB202" s="12">
        <f t="shared" si="69"/>
        <v>0</v>
      </c>
      <c r="AC202" s="12">
        <f t="shared" si="81"/>
        <v>-3.0647051731766761</v>
      </c>
      <c r="AD202" s="12">
        <f t="shared" si="70"/>
        <v>-313.81376999993444</v>
      </c>
    </row>
    <row r="203" spans="1:30" x14ac:dyDescent="0.25">
      <c r="A203" s="26">
        <f t="shared" si="72"/>
        <v>1000000</v>
      </c>
      <c r="B203" s="12">
        <f t="shared" si="51"/>
        <v>6283185.307179586</v>
      </c>
      <c r="C203" s="13">
        <f t="shared" si="52"/>
        <v>65.508739084398783</v>
      </c>
      <c r="D203" s="13">
        <f t="shared" si="53"/>
        <v>-774.84093118176463</v>
      </c>
      <c r="E203" s="13">
        <f t="shared" si="54"/>
        <v>29.946150106648759</v>
      </c>
      <c r="F203" s="13">
        <f t="shared" si="55"/>
        <v>57.790733207291176</v>
      </c>
      <c r="G203" s="13">
        <f t="shared" si="56"/>
        <v>37.547986165913741</v>
      </c>
      <c r="H203" s="13">
        <f t="shared" si="57"/>
        <v>29.850366835817717</v>
      </c>
      <c r="I203" s="13">
        <f t="shared" si="58"/>
        <v>0</v>
      </c>
      <c r="J203" s="13">
        <f t="shared" si="59"/>
        <v>81.446754383560872</v>
      </c>
      <c r="K203" s="13">
        <f t="shared" si="60"/>
        <v>2.1531258700978442</v>
      </c>
      <c r="L203" s="13">
        <f t="shared" si="61"/>
        <v>-5.8608433572391512</v>
      </c>
      <c r="M203" s="13">
        <f t="shared" si="62"/>
        <v>13.425931419598285</v>
      </c>
      <c r="N203" s="13">
        <f t="shared" si="63"/>
        <v>23.31640077720326</v>
      </c>
      <c r="O203" s="13">
        <f t="shared" si="73"/>
        <v>12.784833270730253</v>
      </c>
      <c r="P203" s="13">
        <f t="shared" si="64"/>
        <v>0</v>
      </c>
      <c r="Q203" s="13">
        <f t="shared" si="65"/>
        <v>0</v>
      </c>
      <c r="R203" s="27">
        <f t="shared" si="66"/>
        <v>-44.584755422753162</v>
      </c>
      <c r="S203" s="12">
        <f t="shared" si="74"/>
        <v>3.1029637527597513</v>
      </c>
      <c r="T203" s="12">
        <f t="shared" si="75"/>
        <v>1.5575341924586059</v>
      </c>
      <c r="U203" s="12">
        <f t="shared" si="76"/>
        <v>1.5386185076490368</v>
      </c>
      <c r="V203" s="12">
        <f t="shared" si="77"/>
        <v>0</v>
      </c>
      <c r="W203" s="12">
        <f t="shared" si="78"/>
        <v>1.5707116699104755</v>
      </c>
      <c r="X203" s="12">
        <f t="shared" si="79"/>
        <v>0.67541504587150014</v>
      </c>
      <c r="Y203" s="12">
        <f t="shared" si="80"/>
        <v>1.9823936605124477</v>
      </c>
      <c r="Z203" s="12">
        <f t="shared" si="67"/>
        <v>1.3392456086489555</v>
      </c>
      <c r="AA203" s="12">
        <f t="shared" si="68"/>
        <v>0</v>
      </c>
      <c r="AB203" s="12">
        <f t="shared" si="69"/>
        <v>0</v>
      </c>
      <c r="AC203" s="12">
        <f t="shared" si="81"/>
        <v>-3.1029637527597513</v>
      </c>
      <c r="AD203" s="12">
        <f t="shared" si="70"/>
        <v>-319.39973682476267</v>
      </c>
    </row>
    <row r="204" spans="1:30" x14ac:dyDescent="0.25">
      <c r="A204" s="26">
        <f>A203+500000</f>
        <v>1500000</v>
      </c>
      <c r="B204" s="12">
        <f t="shared" si="51"/>
        <v>9424777.9607693795</v>
      </c>
      <c r="C204" s="13">
        <f t="shared" si="52"/>
        <v>65.508739084398783</v>
      </c>
      <c r="D204" s="13">
        <f t="shared" si="53"/>
        <v>-1744.6420951589703</v>
      </c>
      <c r="E204" s="13">
        <f t="shared" si="54"/>
        <v>-469.59084427437995</v>
      </c>
      <c r="F204" s="13">
        <f t="shared" si="55"/>
        <v>65.137889476146626</v>
      </c>
      <c r="G204" s="13">
        <f t="shared" si="56"/>
        <v>41.069386987059914</v>
      </c>
      <c r="H204" s="13">
        <f t="shared" si="57"/>
        <v>33.369693973304429</v>
      </c>
      <c r="I204" s="13">
        <f t="shared" si="58"/>
        <v>0</v>
      </c>
      <c r="J204" s="13">
        <f t="shared" si="59"/>
        <v>84.968579547382831</v>
      </c>
      <c r="K204" s="13">
        <f t="shared" si="60"/>
        <v>3.8809850213171964</v>
      </c>
      <c r="L204" s="13">
        <f t="shared" si="61"/>
        <v>-14.436897553788091</v>
      </c>
      <c r="M204" s="13">
        <f t="shared" si="62"/>
        <v>20.138897129397428</v>
      </c>
      <c r="N204" s="13">
        <f t="shared" si="63"/>
        <v>27.881677971980139</v>
      </c>
      <c r="O204" s="13">
        <f t="shared" si="73"/>
        <v>16.177696794427842</v>
      </c>
      <c r="P204" s="13">
        <f t="shared" si="64"/>
        <v>0</v>
      </c>
      <c r="Q204" s="13">
        <f t="shared" si="65"/>
        <v>0</v>
      </c>
      <c r="R204" s="27">
        <f t="shared" si="66"/>
        <v>-58.099008766491508</v>
      </c>
      <c r="S204" s="12">
        <f t="shared" si="74"/>
        <v>-2.8786623176887027</v>
      </c>
      <c r="T204" s="12">
        <f t="shared" si="75"/>
        <v>1.5619546159219764</v>
      </c>
      <c r="U204" s="12">
        <f t="shared" si="76"/>
        <v>1.5493403335494003</v>
      </c>
      <c r="V204" s="12">
        <f t="shared" si="77"/>
        <v>0</v>
      </c>
      <c r="W204" s="12">
        <f t="shared" si="78"/>
        <v>1.5707398888718742</v>
      </c>
      <c r="X204" s="12">
        <f t="shared" si="79"/>
        <v>0.8767374919735943</v>
      </c>
      <c r="Y204" s="12">
        <f t="shared" si="80"/>
        <v>2.1927525231968512</v>
      </c>
      <c r="Z204" s="12">
        <f t="shared" si="67"/>
        <v>1.4148855728567928</v>
      </c>
      <c r="AA204" s="12">
        <f t="shared" si="68"/>
        <v>0</v>
      </c>
      <c r="AB204" s="12">
        <f t="shared" si="69"/>
        <v>0</v>
      </c>
      <c r="AC204" s="12">
        <f t="shared" si="81"/>
        <v>-3.4045229894908835</v>
      </c>
      <c r="AD204" s="12">
        <f t="shared" si="70"/>
        <v>-363.73329041867481</v>
      </c>
    </row>
    <row r="205" spans="1:30" x14ac:dyDescent="0.25">
      <c r="A205" s="26">
        <f t="shared" ref="A205:A221" si="82">A204+500000</f>
        <v>2000000</v>
      </c>
      <c r="B205" s="12">
        <f t="shared" si="51"/>
        <v>12566370.614359172</v>
      </c>
      <c r="C205" s="13">
        <f t="shared" si="52"/>
        <v>65.508739084398783</v>
      </c>
      <c r="D205" s="13">
        <f t="shared" si="53"/>
        <v>-3102.3637247270585</v>
      </c>
      <c r="E205" s="13">
        <f t="shared" si="54"/>
        <v>-1586.5399219766323</v>
      </c>
      <c r="F205" s="13">
        <f t="shared" si="55"/>
        <v>70.842819876843947</v>
      </c>
      <c r="G205" s="13">
        <f t="shared" si="56"/>
        <v>43.568013183440584</v>
      </c>
      <c r="H205" s="13">
        <f t="shared" si="57"/>
        <v>35.867594050631162</v>
      </c>
      <c r="I205" s="13">
        <f t="shared" si="58"/>
        <v>0</v>
      </c>
      <c r="J205" s="13">
        <f t="shared" si="59"/>
        <v>87.467354273496767</v>
      </c>
      <c r="K205" s="13">
        <f t="shared" si="60"/>
        <v>5.5231334925611062</v>
      </c>
      <c r="L205" s="13">
        <f t="shared" si="61"/>
        <v>-26.443373428956605</v>
      </c>
      <c r="M205" s="13">
        <f t="shared" si="62"/>
        <v>26.851862839196571</v>
      </c>
      <c r="N205" s="13">
        <f t="shared" si="63"/>
        <v>31.523723007557347</v>
      </c>
      <c r="O205" s="13">
        <f t="shared" si="73"/>
        <v>18.630414754959183</v>
      </c>
      <c r="P205" s="13">
        <f t="shared" si="64"/>
        <v>0</v>
      </c>
      <c r="Q205" s="13">
        <f t="shared" si="65"/>
        <v>0</v>
      </c>
      <c r="R205" s="27">
        <f t="shared" si="66"/>
        <v>-69.043099086947819</v>
      </c>
      <c r="S205" s="12">
        <f t="shared" si="74"/>
        <v>-2.6688689631131983</v>
      </c>
      <c r="T205" s="12">
        <f t="shared" si="75"/>
        <v>1.564164968038932</v>
      </c>
      <c r="U205" s="12">
        <f t="shared" si="76"/>
        <v>1.5547032514810359</v>
      </c>
      <c r="V205" s="12">
        <f t="shared" si="77"/>
        <v>0</v>
      </c>
      <c r="W205" s="12">
        <f t="shared" si="78"/>
        <v>1.5707539983526102</v>
      </c>
      <c r="X205" s="12">
        <f t="shared" si="79"/>
        <v>1.0128178136007724</v>
      </c>
      <c r="Y205" s="12">
        <f t="shared" si="80"/>
        <v>2.3485299888228992</v>
      </c>
      <c r="Z205" s="12">
        <f t="shared" si="67"/>
        <v>1.4534481167264162</v>
      </c>
      <c r="AA205" s="12">
        <f t="shared" si="68"/>
        <v>0</v>
      </c>
      <c r="AB205" s="12">
        <f t="shared" si="69"/>
        <v>0</v>
      </c>
      <c r="AC205" s="12">
        <f t="shared" si="81"/>
        <v>-3.6143163440663879</v>
      </c>
      <c r="AD205" s="12">
        <f t="shared" si="70"/>
        <v>-394.25214664719743</v>
      </c>
    </row>
    <row r="206" spans="1:30" x14ac:dyDescent="0.25">
      <c r="A206" s="26">
        <f t="shared" si="82"/>
        <v>2500000</v>
      </c>
      <c r="B206" s="12">
        <f t="shared" si="51"/>
        <v>15707963.267948966</v>
      </c>
      <c r="C206" s="13">
        <f t="shared" si="52"/>
        <v>65.508739084398783</v>
      </c>
      <c r="D206" s="13">
        <f t="shared" si="53"/>
        <v>-4848.0058198860297</v>
      </c>
      <c r="E206" s="13">
        <f t="shared" si="54"/>
        <v>-3526.7051107738494</v>
      </c>
      <c r="F206" s="13">
        <f t="shared" si="55"/>
        <v>75.555878529649831</v>
      </c>
      <c r="G206" s="13">
        <f t="shared" si="56"/>
        <v>45.506144691032596</v>
      </c>
      <c r="H206" s="13">
        <f t="shared" si="57"/>
        <v>37.805389410908759</v>
      </c>
      <c r="I206" s="13">
        <f t="shared" si="58"/>
        <v>0</v>
      </c>
      <c r="J206" s="13">
        <f t="shared" si="59"/>
        <v>89.405554530856648</v>
      </c>
      <c r="K206" s="13">
        <f t="shared" si="60"/>
        <v>6.9993037532350613</v>
      </c>
      <c r="L206" s="13">
        <f t="shared" si="61"/>
        <v>-41.880270982744705</v>
      </c>
      <c r="M206" s="13">
        <f t="shared" si="62"/>
        <v>33.56482854899572</v>
      </c>
      <c r="N206" s="13">
        <f t="shared" si="63"/>
        <v>34.59476143685238</v>
      </c>
      <c r="O206" s="13">
        <f t="shared" si="73"/>
        <v>20.547130819231761</v>
      </c>
      <c r="P206" s="13">
        <f t="shared" si="64"/>
        <v>0</v>
      </c>
      <c r="Q206" s="13">
        <f t="shared" si="65"/>
        <v>0</v>
      </c>
      <c r="R206" s="27">
        <f t="shared" si="66"/>
        <v>-78.282355883485536</v>
      </c>
      <c r="S206" s="12">
        <f t="shared" si="74"/>
        <v>-2.5126772911826389</v>
      </c>
      <c r="T206" s="12">
        <f t="shared" si="75"/>
        <v>1.5654912117952129</v>
      </c>
      <c r="U206" s="12">
        <f t="shared" si="76"/>
        <v>1.5579214664238976</v>
      </c>
      <c r="V206" s="12">
        <f t="shared" si="77"/>
        <v>0</v>
      </c>
      <c r="W206" s="12">
        <f t="shared" si="78"/>
        <v>1.5707624640410602</v>
      </c>
      <c r="X206" s="12">
        <f t="shared" si="79"/>
        <v>1.1077011699884201</v>
      </c>
      <c r="Y206" s="12">
        <f t="shared" si="80"/>
        <v>2.4659698567850188</v>
      </c>
      <c r="Z206" s="12">
        <f t="shared" si="67"/>
        <v>1.4767625936612145</v>
      </c>
      <c r="AA206" s="12">
        <f t="shared" si="68"/>
        <v>0</v>
      </c>
      <c r="AB206" s="12">
        <f t="shared" si="69"/>
        <v>0</v>
      </c>
      <c r="AC206" s="12">
        <f t="shared" si="81"/>
        <v>-3.7705080159969473</v>
      </c>
      <c r="AD206" s="12">
        <f t="shared" si="70"/>
        <v>-416.44242276626693</v>
      </c>
    </row>
    <row r="207" spans="1:30" x14ac:dyDescent="0.25">
      <c r="A207" s="26">
        <f t="shared" si="82"/>
        <v>3000000</v>
      </c>
      <c r="B207" s="12">
        <f t="shared" si="51"/>
        <v>18849555.921538759</v>
      </c>
      <c r="C207" s="13">
        <f t="shared" si="52"/>
        <v>65.508739084398783</v>
      </c>
      <c r="D207" s="13">
        <f t="shared" si="53"/>
        <v>-6981.5683806358811</v>
      </c>
      <c r="E207" s="13">
        <f t="shared" si="54"/>
        <v>-6495.8904384397729</v>
      </c>
      <c r="F207" s="13">
        <f t="shared" si="55"/>
        <v>79.587496471923458</v>
      </c>
      <c r="G207" s="13">
        <f t="shared" si="56"/>
        <v>47.089732264454305</v>
      </c>
      <c r="H207" s="13">
        <f t="shared" si="57"/>
        <v>39.38879437042204</v>
      </c>
      <c r="I207" s="13">
        <f t="shared" si="58"/>
        <v>0</v>
      </c>
      <c r="J207" s="13">
        <f t="shared" si="59"/>
        <v>90.989179450287466</v>
      </c>
      <c r="K207" s="13">
        <f t="shared" si="60"/>
        <v>8.3096950273144756</v>
      </c>
      <c r="L207" s="13">
        <f t="shared" si="61"/>
        <v>-60.747590215152364</v>
      </c>
      <c r="M207" s="13">
        <f t="shared" si="62"/>
        <v>40.277794258794856</v>
      </c>
      <c r="N207" s="13">
        <f t="shared" si="63"/>
        <v>37.253047004204099</v>
      </c>
      <c r="O207" s="13">
        <f t="shared" si="73"/>
        <v>22.119040612173038</v>
      </c>
      <c r="P207" s="13">
        <f t="shared" si="64"/>
        <v>0</v>
      </c>
      <c r="Q207" s="13">
        <f t="shared" si="65"/>
        <v>0</v>
      </c>
      <c r="R207" s="27">
        <f t="shared" si="66"/>
        <v>-86.271192846627414</v>
      </c>
      <c r="S207" s="12">
        <f t="shared" si="74"/>
        <v>-2.3922152175414024</v>
      </c>
      <c r="T207" s="12">
        <f t="shared" si="75"/>
        <v>1.5663753849557136</v>
      </c>
      <c r="U207" s="12">
        <f t="shared" si="76"/>
        <v>1.5600670953458544</v>
      </c>
      <c r="V207" s="12">
        <f t="shared" si="77"/>
        <v>0</v>
      </c>
      <c r="W207" s="12">
        <f t="shared" si="78"/>
        <v>1.5707681078333631</v>
      </c>
      <c r="X207" s="12">
        <f t="shared" si="79"/>
        <v>1.1764955140287074</v>
      </c>
      <c r="Y207" s="12">
        <f t="shared" si="80"/>
        <v>2.5561083163550782</v>
      </c>
      <c r="Z207" s="12">
        <f t="shared" si="67"/>
        <v>1.4923643200508516</v>
      </c>
      <c r="AA207" s="12">
        <f t="shared" si="68"/>
        <v>0</v>
      </c>
      <c r="AB207" s="12">
        <f t="shared" si="69"/>
        <v>0</v>
      </c>
      <c r="AC207" s="12">
        <f t="shared" si="81"/>
        <v>-3.8909700896381838</v>
      </c>
      <c r="AD207" s="12">
        <f t="shared" si="70"/>
        <v>-433.17121161899712</v>
      </c>
    </row>
    <row r="208" spans="1:30" x14ac:dyDescent="0.25">
      <c r="A208" s="26">
        <f t="shared" si="82"/>
        <v>3500000</v>
      </c>
      <c r="B208" s="12">
        <f t="shared" si="51"/>
        <v>21991148.575128552</v>
      </c>
      <c r="C208" s="13">
        <f t="shared" si="52"/>
        <v>65.508739084398783</v>
      </c>
      <c r="D208" s="13">
        <f t="shared" si="53"/>
        <v>-9503.0514069766159</v>
      </c>
      <c r="E208" s="13">
        <f t="shared" si="54"/>
        <v>-10699.899932748142</v>
      </c>
      <c r="F208" s="13">
        <f t="shared" si="55"/>
        <v>83.113211403930649</v>
      </c>
      <c r="G208" s="13">
        <f t="shared" si="56"/>
        <v>48.428645537528226</v>
      </c>
      <c r="H208" s="13">
        <f t="shared" si="57"/>
        <v>40.727597527839905</v>
      </c>
      <c r="I208" s="13">
        <f t="shared" si="58"/>
        <v>0</v>
      </c>
      <c r="J208" s="13">
        <f t="shared" si="59"/>
        <v>92.328115241982232</v>
      </c>
      <c r="K208" s="13">
        <f t="shared" si="60"/>
        <v>9.4751680196007637</v>
      </c>
      <c r="L208" s="13">
        <f t="shared" si="61"/>
        <v>-83.045331126179605</v>
      </c>
      <c r="M208" s="13">
        <f t="shared" si="62"/>
        <v>46.990759968593999</v>
      </c>
      <c r="N208" s="13">
        <f t="shared" si="63"/>
        <v>39.592636629135328</v>
      </c>
      <c r="O208" s="13">
        <f t="shared" si="73"/>
        <v>23.450897249612311</v>
      </c>
      <c r="P208" s="13">
        <f t="shared" si="64"/>
        <v>0</v>
      </c>
      <c r="Q208" s="13">
        <f t="shared" si="65"/>
        <v>0</v>
      </c>
      <c r="R208" s="27">
        <f t="shared" si="66"/>
        <v>-93.295046394494378</v>
      </c>
      <c r="S208" s="12">
        <f t="shared" si="74"/>
        <v>-2.2970223760792337</v>
      </c>
      <c r="T208" s="12">
        <f t="shared" si="75"/>
        <v>1.5670069415258687</v>
      </c>
      <c r="U208" s="12">
        <f t="shared" si="76"/>
        <v>1.561599749072615</v>
      </c>
      <c r="V208" s="12">
        <f t="shared" si="77"/>
        <v>0</v>
      </c>
      <c r="W208" s="12">
        <f t="shared" si="78"/>
        <v>1.5707721391135805</v>
      </c>
      <c r="X208" s="12">
        <f t="shared" si="79"/>
        <v>1.2282097960510048</v>
      </c>
      <c r="Y208" s="12">
        <f t="shared" si="80"/>
        <v>2.626666048430653</v>
      </c>
      <c r="Z208" s="12">
        <f t="shared" si="67"/>
        <v>1.503532328778546</v>
      </c>
      <c r="AA208" s="12">
        <f t="shared" si="68"/>
        <v>0</v>
      </c>
      <c r="AB208" s="12">
        <f t="shared" si="69"/>
        <v>0</v>
      </c>
      <c r="AC208" s="12">
        <f t="shared" si="81"/>
        <v>-3.9861629311003526</v>
      </c>
      <c r="AD208" s="12">
        <f t="shared" si="70"/>
        <v>-446.14714066002205</v>
      </c>
    </row>
    <row r="209" spans="1:30" x14ac:dyDescent="0.25">
      <c r="A209" s="26">
        <f t="shared" si="82"/>
        <v>4000000</v>
      </c>
      <c r="B209" s="12">
        <f t="shared" si="51"/>
        <v>25132741.228718344</v>
      </c>
      <c r="C209" s="13">
        <f t="shared" si="52"/>
        <v>65.508739084398783</v>
      </c>
      <c r="D209" s="13">
        <f t="shared" si="53"/>
        <v>-12412.454898908234</v>
      </c>
      <c r="E209" s="13">
        <f t="shared" si="54"/>
        <v>-16344.537621472704</v>
      </c>
      <c r="F209" s="13">
        <f t="shared" si="55"/>
        <v>86.24501711478409</v>
      </c>
      <c r="G209" s="13">
        <f t="shared" si="56"/>
        <v>49.58846986097295</v>
      </c>
      <c r="H209" s="13">
        <f t="shared" si="57"/>
        <v>41.887350379883337</v>
      </c>
      <c r="I209" s="13">
        <f t="shared" si="58"/>
        <v>0</v>
      </c>
      <c r="J209" s="13">
        <f t="shared" si="59"/>
        <v>93.487954180940449</v>
      </c>
      <c r="K209" s="13">
        <f t="shared" si="60"/>
        <v>10.518598044734782</v>
      </c>
      <c r="L209" s="13">
        <f t="shared" si="61"/>
        <v>-108.77349371582642</v>
      </c>
      <c r="M209" s="13">
        <f t="shared" si="62"/>
        <v>53.703725678393141</v>
      </c>
      <c r="N209" s="13">
        <f t="shared" si="63"/>
        <v>41.677827873891871</v>
      </c>
      <c r="O209" s="13">
        <f t="shared" si="73"/>
        <v>24.60613536228059</v>
      </c>
      <c r="P209" s="13">
        <f t="shared" si="64"/>
        <v>0</v>
      </c>
      <c r="Q209" s="13">
        <f t="shared" si="65"/>
        <v>0</v>
      </c>
      <c r="R209" s="27">
        <f t="shared" si="66"/>
        <v>-99.550973251376718</v>
      </c>
      <c r="S209" s="12">
        <f t="shared" si="74"/>
        <v>-2.2203023688914429</v>
      </c>
      <c r="T209" s="12">
        <f t="shared" si="75"/>
        <v>1.5674806109648307</v>
      </c>
      <c r="U209" s="12">
        <f t="shared" si="76"/>
        <v>1.5627492681169235</v>
      </c>
      <c r="V209" s="12">
        <f t="shared" si="77"/>
        <v>0</v>
      </c>
      <c r="W209" s="12">
        <f t="shared" si="78"/>
        <v>1.5707751625737438</v>
      </c>
      <c r="X209" s="12">
        <f t="shared" si="79"/>
        <v>1.2683046025598952</v>
      </c>
      <c r="Y209" s="12">
        <f t="shared" si="80"/>
        <v>2.6829810896373121</v>
      </c>
      <c r="Z209" s="12">
        <f t="shared" si="67"/>
        <v>1.511919530164699</v>
      </c>
      <c r="AA209" s="12">
        <f t="shared" si="68"/>
        <v>0</v>
      </c>
      <c r="AB209" s="12">
        <f t="shared" si="69"/>
        <v>0</v>
      </c>
      <c r="AC209" s="12">
        <f t="shared" si="81"/>
        <v>-4.0628829382881433</v>
      </c>
      <c r="AD209" s="12">
        <f t="shared" si="70"/>
        <v>-456.45447327710986</v>
      </c>
    </row>
    <row r="210" spans="1:30" x14ac:dyDescent="0.25">
      <c r="A210" s="26">
        <f t="shared" si="82"/>
        <v>4500000</v>
      </c>
      <c r="B210" s="12">
        <f t="shared" si="51"/>
        <v>28274333.882308137</v>
      </c>
      <c r="C210" s="13">
        <f t="shared" si="52"/>
        <v>65.508739084398783</v>
      </c>
      <c r="D210" s="13">
        <f t="shared" si="53"/>
        <v>-15709.77885643073</v>
      </c>
      <c r="E210" s="13">
        <f t="shared" si="54"/>
        <v>-23635.607532387188</v>
      </c>
      <c r="F210" s="13">
        <f t="shared" si="55"/>
        <v>89.060327059677121</v>
      </c>
      <c r="G210" s="13">
        <f t="shared" si="56"/>
        <v>50.611510289135929</v>
      </c>
      <c r="H210" s="13">
        <f t="shared" si="57"/>
        <v>42.910341806531278</v>
      </c>
      <c r="I210" s="13">
        <f t="shared" si="58"/>
        <v>0</v>
      </c>
      <c r="J210" s="13">
        <f t="shared" si="59"/>
        <v>94.5110046294798</v>
      </c>
      <c r="K210" s="13">
        <f t="shared" si="60"/>
        <v>11.459996913872295</v>
      </c>
      <c r="L210" s="13">
        <f t="shared" si="61"/>
        <v>-137.93207798409281</v>
      </c>
      <c r="M210" s="13">
        <f t="shared" si="62"/>
        <v>60.416691388192284</v>
      </c>
      <c r="N210" s="13">
        <f t="shared" si="63"/>
        <v>43.555556221415955</v>
      </c>
      <c r="O210" s="13">
        <f t="shared" si="73"/>
        <v>25.626028680795791</v>
      </c>
      <c r="P210" s="13">
        <f t="shared" si="64"/>
        <v>0</v>
      </c>
      <c r="Q210" s="13">
        <f t="shared" si="65"/>
        <v>0</v>
      </c>
      <c r="R210" s="27">
        <f t="shared" si="66"/>
        <v>-105.18232232517499</v>
      </c>
      <c r="S210" s="12">
        <f t="shared" si="74"/>
        <v>-2.1574124022141969</v>
      </c>
      <c r="T210" s="12">
        <f t="shared" si="75"/>
        <v>1.5678490215679937</v>
      </c>
      <c r="U210" s="12">
        <f t="shared" si="76"/>
        <v>1.5636433533437406</v>
      </c>
      <c r="V210" s="12">
        <f t="shared" si="77"/>
        <v>0</v>
      </c>
      <c r="W210" s="12">
        <f t="shared" si="78"/>
        <v>1.5707775141538713</v>
      </c>
      <c r="X210" s="12">
        <f t="shared" si="79"/>
        <v>1.3002055787986171</v>
      </c>
      <c r="Y210" s="12">
        <f t="shared" si="80"/>
        <v>2.7287477670995615</v>
      </c>
      <c r="Z210" s="12">
        <f t="shared" si="67"/>
        <v>1.5184487079360782</v>
      </c>
      <c r="AA210" s="12">
        <f t="shared" si="68"/>
        <v>0</v>
      </c>
      <c r="AB210" s="12">
        <f t="shared" si="69"/>
        <v>0</v>
      </c>
      <c r="AC210" s="12">
        <f t="shared" si="81"/>
        <v>-4.1257729049653893</v>
      </c>
      <c r="AD210" s="12">
        <f t="shared" si="70"/>
        <v>-464.80972508608022</v>
      </c>
    </row>
    <row r="211" spans="1:30" x14ac:dyDescent="0.25">
      <c r="A211" s="26">
        <f t="shared" si="82"/>
        <v>5000000</v>
      </c>
      <c r="B211" s="12">
        <f t="shared" si="51"/>
        <v>31415926.535897933</v>
      </c>
      <c r="C211" s="13">
        <f t="shared" si="52"/>
        <v>65.508739084398783</v>
      </c>
      <c r="D211" s="13">
        <f t="shared" si="53"/>
        <v>-19395.023279544119</v>
      </c>
      <c r="E211" s="13">
        <f t="shared" si="54"/>
        <v>-32778.913693265349</v>
      </c>
      <c r="F211" s="13">
        <f t="shared" si="55"/>
        <v>91.615548916246127</v>
      </c>
      <c r="G211" s="13">
        <f t="shared" si="56"/>
        <v>51.52665293252695</v>
      </c>
      <c r="H211" s="13">
        <f t="shared" si="57"/>
        <v>43.825449398948912</v>
      </c>
      <c r="I211" s="13">
        <f t="shared" si="58"/>
        <v>0</v>
      </c>
      <c r="J211" s="13">
        <f t="shared" si="59"/>
        <v>95.426154440401262</v>
      </c>
      <c r="K211" s="13">
        <f t="shared" si="60"/>
        <v>12.31578549364913</v>
      </c>
      <c r="L211" s="13">
        <f t="shared" si="61"/>
        <v>-170.52108393097882</v>
      </c>
      <c r="M211" s="13">
        <f t="shared" si="62"/>
        <v>67.129657097991441</v>
      </c>
      <c r="N211" s="13">
        <f t="shared" si="63"/>
        <v>45.261302348514519</v>
      </c>
      <c r="O211" s="13">
        <f t="shared" si="73"/>
        <v>26.538918806380636</v>
      </c>
      <c r="P211" s="13">
        <f t="shared" si="64"/>
        <v>0</v>
      </c>
      <c r="Q211" s="13">
        <f t="shared" si="65"/>
        <v>0</v>
      </c>
      <c r="R211" s="27">
        <f t="shared" si="66"/>
        <v>-110.29686858931703</v>
      </c>
      <c r="S211" s="12">
        <f t="shared" si="74"/>
        <v>-2.1050846588471215</v>
      </c>
      <c r="T211" s="12">
        <f t="shared" si="75"/>
        <v>1.5681437506313662</v>
      </c>
      <c r="U211" s="12">
        <f t="shared" si="76"/>
        <v>1.5643586298279684</v>
      </c>
      <c r="V211" s="12">
        <f t="shared" si="77"/>
        <v>0</v>
      </c>
      <c r="W211" s="12">
        <f t="shared" si="78"/>
        <v>1.5707793954179736</v>
      </c>
      <c r="X211" s="12">
        <f t="shared" si="79"/>
        <v>1.326142572216984</v>
      </c>
      <c r="Y211" s="12">
        <f t="shared" si="80"/>
        <v>2.7665518975259573</v>
      </c>
      <c r="Z211" s="12">
        <f t="shared" si="67"/>
        <v>1.5236752952837762</v>
      </c>
      <c r="AA211" s="12">
        <f t="shared" si="68"/>
        <v>0</v>
      </c>
      <c r="AB211" s="12">
        <f t="shared" si="69"/>
        <v>0</v>
      </c>
      <c r="AC211" s="12">
        <f t="shared" si="81"/>
        <v>-4.1781006483324648</v>
      </c>
      <c r="AD211" s="12">
        <f t="shared" si="70"/>
        <v>-471.70168143979345</v>
      </c>
    </row>
    <row r="212" spans="1:30" x14ac:dyDescent="0.25">
      <c r="A212" s="26">
        <f t="shared" si="82"/>
        <v>5500000</v>
      </c>
      <c r="B212" s="12">
        <f t="shared" si="51"/>
        <v>34557519.189487725</v>
      </c>
      <c r="C212" s="13">
        <f t="shared" si="52"/>
        <v>65.508739084398783</v>
      </c>
      <c r="D212" s="13">
        <f t="shared" si="53"/>
        <v>-23468.188168248384</v>
      </c>
      <c r="E212" s="13">
        <f t="shared" si="54"/>
        <v>-43980.260131880932</v>
      </c>
      <c r="F212" s="13">
        <f t="shared" si="55"/>
        <v>93.953297375903006</v>
      </c>
      <c r="G212" s="13">
        <f t="shared" si="56"/>
        <v>52.354501332305816</v>
      </c>
      <c r="H212" s="13">
        <f t="shared" si="57"/>
        <v>44.653271864714924</v>
      </c>
      <c r="I212" s="13">
        <f t="shared" si="58"/>
        <v>0</v>
      </c>
      <c r="J212" s="13">
        <f t="shared" si="59"/>
        <v>96.254008143349694</v>
      </c>
      <c r="K212" s="13">
        <f t="shared" si="60"/>
        <v>13.099190377248373</v>
      </c>
      <c r="L212" s="13">
        <f t="shared" si="61"/>
        <v>-206.54051155648438</v>
      </c>
      <c r="M212" s="13">
        <f t="shared" si="62"/>
        <v>73.842622807790576</v>
      </c>
      <c r="N212" s="13">
        <f t="shared" si="63"/>
        <v>46.822508458654141</v>
      </c>
      <c r="O212" s="13">
        <f t="shared" si="73"/>
        <v>27.36509984063083</v>
      </c>
      <c r="P212" s="13">
        <f t="shared" si="64"/>
        <v>0</v>
      </c>
      <c r="Q212" s="13">
        <f t="shared" si="65"/>
        <v>0</v>
      </c>
      <c r="R212" s="27">
        <f t="shared" si="66"/>
        <v>-114.97759191436653</v>
      </c>
      <c r="S212" s="12">
        <f t="shared" si="74"/>
        <v>-2.0609669300470812</v>
      </c>
      <c r="T212" s="12">
        <f t="shared" si="75"/>
        <v>1.5683848929373854</v>
      </c>
      <c r="U212" s="12">
        <f t="shared" si="76"/>
        <v>1.5649438609750943</v>
      </c>
      <c r="V212" s="12">
        <f t="shared" si="77"/>
        <v>0</v>
      </c>
      <c r="W212" s="12">
        <f t="shared" si="78"/>
        <v>1.5707809346340573</v>
      </c>
      <c r="X212" s="12">
        <f t="shared" si="79"/>
        <v>1.3476181396255182</v>
      </c>
      <c r="Y212" s="12">
        <f t="shared" si="80"/>
        <v>2.798233161125399</v>
      </c>
      <c r="Z212" s="12">
        <f t="shared" si="67"/>
        <v>1.5279535240384439</v>
      </c>
      <c r="AA212" s="12">
        <f t="shared" si="68"/>
        <v>0</v>
      </c>
      <c r="AB212" s="12">
        <f t="shared" si="69"/>
        <v>0</v>
      </c>
      <c r="AC212" s="12">
        <f t="shared" si="81"/>
        <v>-4.2222183771325046</v>
      </c>
      <c r="AD212" s="12">
        <f t="shared" si="70"/>
        <v>-477.472968101638</v>
      </c>
    </row>
    <row r="213" spans="1:30" x14ac:dyDescent="0.25">
      <c r="A213" s="26">
        <f t="shared" si="82"/>
        <v>6000000</v>
      </c>
      <c r="B213" s="12">
        <f t="shared" si="51"/>
        <v>37699111.843077518</v>
      </c>
      <c r="C213" s="13">
        <f t="shared" si="52"/>
        <v>65.508739084398783</v>
      </c>
      <c r="D213" s="13">
        <f t="shared" si="53"/>
        <v>-27929.273522543524</v>
      </c>
      <c r="E213" s="13">
        <f t="shared" si="54"/>
        <v>-57445.45087600765</v>
      </c>
      <c r="F213" s="13">
        <f t="shared" si="55"/>
        <v>96.106627332801139</v>
      </c>
      <c r="G213" s="13">
        <f t="shared" si="56"/>
        <v>53.11026851642977</v>
      </c>
      <c r="H213" s="13">
        <f t="shared" si="57"/>
        <v>45.409019323749149</v>
      </c>
      <c r="I213" s="13">
        <f t="shared" si="58"/>
        <v>0</v>
      </c>
      <c r="J213" s="13">
        <f t="shared" si="59"/>
        <v>97.00977936097334</v>
      </c>
      <c r="K213" s="13">
        <f t="shared" si="60"/>
        <v>13.820847393482218</v>
      </c>
      <c r="L213" s="13">
        <f t="shared" si="61"/>
        <v>-245.99036086060946</v>
      </c>
      <c r="M213" s="13">
        <f t="shared" si="62"/>
        <v>80.555588517589712</v>
      </c>
      <c r="N213" s="13">
        <f t="shared" si="63"/>
        <v>48.260777875106449</v>
      </c>
      <c r="O213" s="13">
        <f t="shared" si="73"/>
        <v>28.119598425064961</v>
      </c>
      <c r="P213" s="13">
        <f t="shared" si="64"/>
        <v>0</v>
      </c>
      <c r="Q213" s="13">
        <f t="shared" si="65"/>
        <v>0</v>
      </c>
      <c r="R213" s="27">
        <f t="shared" si="66"/>
        <v>-119.28960346285041</v>
      </c>
      <c r="S213" s="12">
        <f t="shared" si="74"/>
        <v>-2.023333190924026</v>
      </c>
      <c r="T213" s="12">
        <f t="shared" si="75"/>
        <v>1.5685858450744898</v>
      </c>
      <c r="U213" s="12">
        <f t="shared" si="76"/>
        <v>1.5654315566771098</v>
      </c>
      <c r="V213" s="12">
        <f t="shared" si="77"/>
        <v>0</v>
      </c>
      <c r="W213" s="12">
        <f t="shared" si="78"/>
        <v>1.570782217314127</v>
      </c>
      <c r="X213" s="12">
        <f t="shared" si="79"/>
        <v>1.3656766437949932</v>
      </c>
      <c r="Y213" s="12">
        <f t="shared" si="80"/>
        <v>2.8251242179680953</v>
      </c>
      <c r="Z213" s="12">
        <f t="shared" si="67"/>
        <v>1.5315199204752703</v>
      </c>
      <c r="AA213" s="12">
        <f t="shared" si="68"/>
        <v>0</v>
      </c>
      <c r="AB213" s="12">
        <f t="shared" si="69"/>
        <v>0</v>
      </c>
      <c r="AC213" s="12">
        <f t="shared" si="81"/>
        <v>-4.2598521162555603</v>
      </c>
      <c r="AD213" s="12">
        <f t="shared" si="70"/>
        <v>-482.3695989989514</v>
      </c>
    </row>
    <row r="214" spans="1:30" x14ac:dyDescent="0.25">
      <c r="A214" s="26">
        <f t="shared" si="82"/>
        <v>6500000</v>
      </c>
      <c r="B214" s="12">
        <f t="shared" si="51"/>
        <v>40840704.496667311</v>
      </c>
      <c r="C214" s="13">
        <f t="shared" si="52"/>
        <v>65.508739084398783</v>
      </c>
      <c r="D214" s="13">
        <f t="shared" si="53"/>
        <v>-32778.279342429552</v>
      </c>
      <c r="E214" s="13">
        <f t="shared" si="54"/>
        <v>-73380.289953419269</v>
      </c>
      <c r="F214" s="13">
        <f t="shared" si="55"/>
        <v>98.101708350788215</v>
      </c>
      <c r="G214" s="13">
        <f t="shared" si="56"/>
        <v>53.805507502472302</v>
      </c>
      <c r="H214" s="13">
        <f t="shared" si="57"/>
        <v>46.104242958946323</v>
      </c>
      <c r="I214" s="13">
        <f t="shared" si="58"/>
        <v>0</v>
      </c>
      <c r="J214" s="13">
        <f t="shared" si="59"/>
        <v>97.705021486029693</v>
      </c>
      <c r="K214" s="13">
        <f t="shared" si="60"/>
        <v>14.489353978240258</v>
      </c>
      <c r="L214" s="13">
        <f t="shared" si="61"/>
        <v>-288.87063184335415</v>
      </c>
      <c r="M214" s="13">
        <f t="shared" si="62"/>
        <v>87.268554227388861</v>
      </c>
      <c r="N214" s="13">
        <f t="shared" si="63"/>
        <v>49.593373871964978</v>
      </c>
      <c r="O214" s="13">
        <f t="shared" si="73"/>
        <v>28.813849884141753</v>
      </c>
      <c r="P214" s="13">
        <f t="shared" si="64"/>
        <v>0</v>
      </c>
      <c r="Q214" s="13">
        <f t="shared" si="65"/>
        <v>0</v>
      </c>
      <c r="R214" s="27">
        <f t="shared" si="66"/>
        <v>-123.28481802534748</v>
      </c>
      <c r="S214" s="12">
        <f t="shared" si="74"/>
        <v>-1.9908946747932526</v>
      </c>
      <c r="T214" s="12">
        <f t="shared" si="75"/>
        <v>1.5687558816382847</v>
      </c>
      <c r="U214" s="12">
        <f t="shared" si="76"/>
        <v>1.5658442242737143</v>
      </c>
      <c r="V214" s="12">
        <f t="shared" si="77"/>
        <v>0</v>
      </c>
      <c r="W214" s="12">
        <f t="shared" si="78"/>
        <v>1.5707833026588014</v>
      </c>
      <c r="X214" s="12">
        <f t="shared" si="79"/>
        <v>1.381064110537946</v>
      </c>
      <c r="Y214" s="12">
        <f t="shared" si="80"/>
        <v>2.8482080330138295</v>
      </c>
      <c r="Z214" s="12">
        <f t="shared" si="67"/>
        <v>1.5345384251579137</v>
      </c>
      <c r="AA214" s="12">
        <f t="shared" si="68"/>
        <v>0</v>
      </c>
      <c r="AB214" s="12">
        <f t="shared" si="69"/>
        <v>0</v>
      </c>
      <c r="AC214" s="12">
        <f t="shared" si="81"/>
        <v>-4.2922906323863339</v>
      </c>
      <c r="AD214" s="12">
        <f t="shared" si="70"/>
        <v>-486.57205442119169</v>
      </c>
    </row>
    <row r="215" spans="1:30" x14ac:dyDescent="0.25">
      <c r="A215" s="26">
        <f t="shared" si="82"/>
        <v>7000000</v>
      </c>
      <c r="B215" s="12">
        <f t="shared" si="51"/>
        <v>43982297.150257103</v>
      </c>
      <c r="C215" s="13">
        <f t="shared" si="52"/>
        <v>65.508739084398783</v>
      </c>
      <c r="D215" s="13">
        <f t="shared" si="53"/>
        <v>-38015.205627906464</v>
      </c>
      <c r="E215" s="13">
        <f t="shared" si="54"/>
        <v>-91990.581391889515</v>
      </c>
      <c r="F215" s="13">
        <f t="shared" si="55"/>
        <v>99.959607023617338</v>
      </c>
      <c r="G215" s="13">
        <f t="shared" si="56"/>
        <v>54.449198679085868</v>
      </c>
      <c r="H215" s="13">
        <f t="shared" si="57"/>
        <v>46.747921955079612</v>
      </c>
      <c r="I215" s="13">
        <f t="shared" si="58"/>
        <v>0</v>
      </c>
      <c r="J215" s="13">
        <f t="shared" si="59"/>
        <v>98.348715153356238</v>
      </c>
      <c r="K215" s="13">
        <f t="shared" si="60"/>
        <v>15.111716079233862</v>
      </c>
      <c r="L215" s="13">
        <f t="shared" si="61"/>
        <v>-335.18132450471842</v>
      </c>
      <c r="M215" s="13">
        <f t="shared" si="62"/>
        <v>93.981519937187997</v>
      </c>
      <c r="N215" s="13">
        <f t="shared" si="63"/>
        <v>50.834275305112627</v>
      </c>
      <c r="O215" s="13">
        <f t="shared" si="73"/>
        <v>29.456757327516385</v>
      </c>
      <c r="P215" s="13">
        <f t="shared" si="64"/>
        <v>0</v>
      </c>
      <c r="Q215" s="13">
        <f t="shared" si="65"/>
        <v>0</v>
      </c>
      <c r="R215" s="27">
        <f t="shared" si="66"/>
        <v>-127.00521117027219</v>
      </c>
      <c r="S215" s="12">
        <f t="shared" si="74"/>
        <v>-1.9626735851714423</v>
      </c>
      <c r="T215" s="12">
        <f t="shared" si="75"/>
        <v>1.5689016273586767</v>
      </c>
      <c r="U215" s="12">
        <f t="shared" si="76"/>
        <v>1.5661979407042828</v>
      </c>
      <c r="V215" s="12">
        <f t="shared" si="77"/>
        <v>0</v>
      </c>
      <c r="W215" s="12">
        <f t="shared" si="78"/>
        <v>1.5707842329542367</v>
      </c>
      <c r="X215" s="12">
        <f t="shared" si="79"/>
        <v>1.3943264239220259</v>
      </c>
      <c r="Y215" s="12">
        <f t="shared" si="80"/>
        <v>2.8682222618097621</v>
      </c>
      <c r="Z215" s="12">
        <f t="shared" si="67"/>
        <v>1.5371262431857622</v>
      </c>
      <c r="AA215" s="12">
        <f t="shared" si="68"/>
        <v>0</v>
      </c>
      <c r="AB215" s="12">
        <f t="shared" si="69"/>
        <v>0</v>
      </c>
      <c r="AC215" s="12">
        <f t="shared" si="81"/>
        <v>-4.3205117220081437</v>
      </c>
      <c r="AD215" s="12">
        <f t="shared" si="70"/>
        <v>-490.21531645335466</v>
      </c>
    </row>
    <row r="216" spans="1:30" x14ac:dyDescent="0.25">
      <c r="A216" s="26">
        <f t="shared" si="82"/>
        <v>7500000</v>
      </c>
      <c r="B216" s="12">
        <f t="shared" si="51"/>
        <v>47123889.803846896</v>
      </c>
      <c r="C216" s="13">
        <f t="shared" si="52"/>
        <v>65.508739084398783</v>
      </c>
      <c r="D216" s="13">
        <f t="shared" si="53"/>
        <v>-43640.052378974258</v>
      </c>
      <c r="E216" s="13">
        <f t="shared" si="54"/>
        <v>-113482.12921919215</v>
      </c>
      <c r="F216" s="13">
        <f t="shared" si="55"/>
        <v>101.69752230557849</v>
      </c>
      <c r="G216" s="13">
        <f t="shared" si="56"/>
        <v>55.048461137171685</v>
      </c>
      <c r="H216" s="13">
        <f t="shared" si="57"/>
        <v>47.347174586540426</v>
      </c>
      <c r="I216" s="13">
        <f t="shared" si="58"/>
        <v>0</v>
      </c>
      <c r="J216" s="13">
        <f t="shared" si="59"/>
        <v>98.947979620823233</v>
      </c>
      <c r="K216" s="13">
        <f t="shared" si="60"/>
        <v>15.693694638996254</v>
      </c>
      <c r="L216" s="13">
        <f t="shared" si="61"/>
        <v>-384.9224388447023</v>
      </c>
      <c r="M216" s="13">
        <f t="shared" si="62"/>
        <v>100.69448564698715</v>
      </c>
      <c r="N216" s="13">
        <f t="shared" si="63"/>
        <v>51.994937085719677</v>
      </c>
      <c r="O216" s="13">
        <f t="shared" si="73"/>
        <v>30.055387405870256</v>
      </c>
      <c r="P216" s="13">
        <f t="shared" si="64"/>
        <v>0</v>
      </c>
      <c r="Q216" s="13">
        <f t="shared" si="65"/>
        <v>0</v>
      </c>
      <c r="R216" s="27">
        <f t="shared" si="66"/>
        <v>-130.48514624887702</v>
      </c>
      <c r="S216" s="12">
        <f t="shared" si="74"/>
        <v>-1.9379170357992392</v>
      </c>
      <c r="T216" s="12">
        <f t="shared" si="75"/>
        <v>1.5690279403816827</v>
      </c>
      <c r="U216" s="12">
        <f t="shared" si="76"/>
        <v>1.5665044958780536</v>
      </c>
      <c r="V216" s="12">
        <f t="shared" si="77"/>
        <v>0</v>
      </c>
      <c r="W216" s="12">
        <f t="shared" si="78"/>
        <v>1.5707850392102807</v>
      </c>
      <c r="X216" s="12">
        <f t="shared" si="79"/>
        <v>1.4058715630125416</v>
      </c>
      <c r="Y216" s="12">
        <f t="shared" si="80"/>
        <v>2.8857294683122712</v>
      </c>
      <c r="Z216" s="12">
        <f t="shared" si="67"/>
        <v>1.5393693850326289</v>
      </c>
      <c r="AA216" s="12">
        <f t="shared" si="68"/>
        <v>0</v>
      </c>
      <c r="AB216" s="12">
        <f t="shared" si="69"/>
        <v>0</v>
      </c>
      <c r="AC216" s="12">
        <f t="shared" si="81"/>
        <v>-4.3452682713803465</v>
      </c>
      <c r="AD216" s="12">
        <f t="shared" si="70"/>
        <v>-493.40210627010742</v>
      </c>
    </row>
    <row r="217" spans="1:30" x14ac:dyDescent="0.25">
      <c r="A217" s="26">
        <f t="shared" si="82"/>
        <v>8000000</v>
      </c>
      <c r="B217" s="12">
        <f t="shared" si="51"/>
        <v>50265482.457436688</v>
      </c>
      <c r="C217" s="13">
        <f t="shared" si="52"/>
        <v>65.508739084398783</v>
      </c>
      <c r="D217" s="13">
        <f t="shared" si="53"/>
        <v>-49652.819595632936</v>
      </c>
      <c r="E217" s="13">
        <f t="shared" si="54"/>
        <v>-138060.7374631009</v>
      </c>
      <c r="F217" s="13">
        <f t="shared" si="55"/>
        <v>103.32966760139185</v>
      </c>
      <c r="G217" s="13">
        <f t="shared" si="56"/>
        <v>55.609033964577606</v>
      </c>
      <c r="H217" s="13">
        <f t="shared" si="57"/>
        <v>47.90773937155052</v>
      </c>
      <c r="I217" s="13">
        <f t="shared" si="58"/>
        <v>0</v>
      </c>
      <c r="J217" s="13">
        <f t="shared" si="59"/>
        <v>99.508554092761102</v>
      </c>
      <c r="K217" s="13">
        <f t="shared" si="60"/>
        <v>16.24007048519649</v>
      </c>
      <c r="L217" s="13">
        <f t="shared" si="61"/>
        <v>-438.09397486330568</v>
      </c>
      <c r="M217" s="13">
        <f t="shared" si="62"/>
        <v>107.40745135678628</v>
      </c>
      <c r="N217" s="13">
        <f t="shared" si="63"/>
        <v>53.084847850770359</v>
      </c>
      <c r="O217" s="13">
        <f t="shared" si="73"/>
        <v>30.615442607839455</v>
      </c>
      <c r="P217" s="13">
        <f t="shared" si="64"/>
        <v>0</v>
      </c>
      <c r="Q217" s="13">
        <f t="shared" si="65"/>
        <v>0</v>
      </c>
      <c r="R217" s="27">
        <f t="shared" si="66"/>
        <v>-133.75307021743237</v>
      </c>
      <c r="S217" s="12">
        <f t="shared" si="74"/>
        <v>-1.9160373811138738</v>
      </c>
      <c r="T217" s="12">
        <f t="shared" si="75"/>
        <v>1.5691384643232404</v>
      </c>
      <c r="U217" s="12">
        <f t="shared" si="76"/>
        <v>1.5667727323187908</v>
      </c>
      <c r="V217" s="12">
        <f t="shared" si="77"/>
        <v>0</v>
      </c>
      <c r="W217" s="12">
        <f t="shared" si="78"/>
        <v>1.5707857446843192</v>
      </c>
      <c r="X217" s="12">
        <f t="shared" si="79"/>
        <v>1.4160101922522759</v>
      </c>
      <c r="Y217" s="12">
        <f t="shared" si="80"/>
        <v>2.9011651178797977</v>
      </c>
      <c r="Z217" s="12">
        <f t="shared" si="67"/>
        <v>1.5413323944726496</v>
      </c>
      <c r="AA217" s="12">
        <f t="shared" si="68"/>
        <v>0</v>
      </c>
      <c r="AB217" s="12">
        <f t="shared" si="69"/>
        <v>0</v>
      </c>
      <c r="AC217" s="12">
        <f t="shared" si="81"/>
        <v>-4.3671479260657122</v>
      </c>
      <c r="AD217" s="12">
        <f t="shared" si="70"/>
        <v>-496.21182758591959</v>
      </c>
    </row>
    <row r="218" spans="1:30" x14ac:dyDescent="0.25">
      <c r="A218" s="26">
        <f t="shared" si="82"/>
        <v>8500000</v>
      </c>
      <c r="B218" s="12">
        <f t="shared" si="51"/>
        <v>53407075.111026481</v>
      </c>
      <c r="C218" s="13">
        <f t="shared" si="52"/>
        <v>65.508739084398783</v>
      </c>
      <c r="D218" s="13">
        <f t="shared" si="53"/>
        <v>-56053.507277882491</v>
      </c>
      <c r="E218" s="13">
        <f t="shared" si="54"/>
        <v>-165932.2101513895</v>
      </c>
      <c r="F218" s="13">
        <f t="shared" si="55"/>
        <v>104.86791565981001</v>
      </c>
      <c r="G218" s="13">
        <f t="shared" si="56"/>
        <v>56.135611376020748</v>
      </c>
      <c r="H218" s="13">
        <f t="shared" si="57"/>
        <v>48.434310117636869</v>
      </c>
      <c r="I218" s="13">
        <f t="shared" si="58"/>
        <v>0</v>
      </c>
      <c r="J218" s="13">
        <f t="shared" si="59"/>
        <v>100.03513286715254</v>
      </c>
      <c r="K218" s="13">
        <f t="shared" si="60"/>
        <v>16.754846505410622</v>
      </c>
      <c r="L218" s="13">
        <f t="shared" si="61"/>
        <v>-494.69593256052866</v>
      </c>
      <c r="M218" s="13">
        <f t="shared" si="62"/>
        <v>114.12041706658543</v>
      </c>
      <c r="N218" s="13">
        <f t="shared" si="63"/>
        <v>54.111945210246347</v>
      </c>
      <c r="O218" s="13">
        <f t="shared" si="73"/>
        <v>31.141590976929802</v>
      </c>
      <c r="P218" s="13">
        <f t="shared" si="64"/>
        <v>0</v>
      </c>
      <c r="Q218" s="13">
        <f t="shared" si="65"/>
        <v>0</v>
      </c>
      <c r="R218" s="27">
        <f t="shared" si="66"/>
        <v>-136.83277064149291</v>
      </c>
      <c r="S218" s="12">
        <f t="shared" si="74"/>
        <v>-1.8965701710804703</v>
      </c>
      <c r="T218" s="12">
        <f t="shared" si="75"/>
        <v>1.5692359854818683</v>
      </c>
      <c r="U218" s="12">
        <f t="shared" si="76"/>
        <v>1.567009412013298</v>
      </c>
      <c r="V218" s="12">
        <f t="shared" si="77"/>
        <v>0</v>
      </c>
      <c r="W218" s="12">
        <f t="shared" si="78"/>
        <v>1.570786367161412</v>
      </c>
      <c r="X218" s="12">
        <f t="shared" si="79"/>
        <v>1.4249828279544576</v>
      </c>
      <c r="Y218" s="12">
        <f t="shared" si="80"/>
        <v>2.9148709270951074</v>
      </c>
      <c r="Z218" s="12">
        <f t="shared" si="67"/>
        <v>1.5430646507660712</v>
      </c>
      <c r="AA218" s="12">
        <f t="shared" si="68"/>
        <v>0</v>
      </c>
      <c r="AB218" s="12">
        <f t="shared" si="69"/>
        <v>0</v>
      </c>
      <c r="AC218" s="12">
        <f t="shared" si="81"/>
        <v>-4.3866151360991159</v>
      </c>
      <c r="AD218" s="12">
        <f t="shared" si="70"/>
        <v>-498.70673408098457</v>
      </c>
    </row>
    <row r="219" spans="1:30" x14ac:dyDescent="0.25">
      <c r="A219" s="26">
        <f t="shared" si="82"/>
        <v>9000000</v>
      </c>
      <c r="B219" s="12">
        <f t="shared" si="51"/>
        <v>56548667.764616273</v>
      </c>
      <c r="C219" s="13">
        <f t="shared" si="52"/>
        <v>65.508739084398783</v>
      </c>
      <c r="D219" s="13">
        <f t="shared" si="53"/>
        <v>-62842.115425722921</v>
      </c>
      <c r="E219" s="13">
        <f t="shared" si="54"/>
        <v>-197302.35131183171</v>
      </c>
      <c r="F219" s="13">
        <f t="shared" si="55"/>
        <v>106.32227929248302</v>
      </c>
      <c r="G219" s="13">
        <f t="shared" si="56"/>
        <v>56.632081908310582</v>
      </c>
      <c r="H219" s="13">
        <f t="shared" si="57"/>
        <v>48.930775064281775</v>
      </c>
      <c r="I219" s="13">
        <f t="shared" si="58"/>
        <v>0</v>
      </c>
      <c r="J219" s="13">
        <f t="shared" si="59"/>
        <v>100.53160454160664</v>
      </c>
      <c r="K219" s="13">
        <f t="shared" si="60"/>
        <v>17.241402594042491</v>
      </c>
      <c r="L219" s="13">
        <f t="shared" si="61"/>
        <v>-554.72831193637126</v>
      </c>
      <c r="M219" s="13">
        <f t="shared" si="62"/>
        <v>120.83338277638457</v>
      </c>
      <c r="N219" s="13">
        <f t="shared" si="63"/>
        <v>55.082929221301526</v>
      </c>
      <c r="O219" s="13">
        <f t="shared" si="73"/>
        <v>31.63770193470198</v>
      </c>
      <c r="P219" s="13">
        <f t="shared" si="64"/>
        <v>0</v>
      </c>
      <c r="Q219" s="13">
        <f t="shared" si="65"/>
        <v>0</v>
      </c>
      <c r="R219" s="27">
        <f t="shared" si="66"/>
        <v>-139.74432152714451</v>
      </c>
      <c r="S219" s="12">
        <f t="shared" si="74"/>
        <v>-1.8791440699388662</v>
      </c>
      <c r="T219" s="12">
        <f t="shared" si="75"/>
        <v>1.5693226709811776</v>
      </c>
      <c r="U219" s="12">
        <f t="shared" si="76"/>
        <v>1.5672197943209714</v>
      </c>
      <c r="V219" s="12">
        <f t="shared" si="77"/>
        <v>0</v>
      </c>
      <c r="W219" s="12">
        <f t="shared" si="78"/>
        <v>1.5707869204743832</v>
      </c>
      <c r="X219" s="12">
        <f t="shared" si="79"/>
        <v>1.4329784495057036</v>
      </c>
      <c r="Y219" s="12">
        <f t="shared" si="80"/>
        <v>2.9271184193461437</v>
      </c>
      <c r="Z219" s="12">
        <f t="shared" si="67"/>
        <v>1.544604574228329</v>
      </c>
      <c r="AA219" s="12">
        <f t="shared" si="68"/>
        <v>0</v>
      </c>
      <c r="AB219" s="12">
        <f t="shared" si="69"/>
        <v>0</v>
      </c>
      <c r="AC219" s="12">
        <f t="shared" si="81"/>
        <v>-4.4040412372407198</v>
      </c>
      <c r="AD219" s="12">
        <f t="shared" si="70"/>
        <v>-500.93626320092955</v>
      </c>
    </row>
    <row r="220" spans="1:30" x14ac:dyDescent="0.25">
      <c r="A220" s="26">
        <f t="shared" si="82"/>
        <v>9500000</v>
      </c>
      <c r="B220" s="12">
        <f t="shared" si="51"/>
        <v>59690260.418206066</v>
      </c>
      <c r="C220" s="13">
        <f t="shared" si="52"/>
        <v>65.508739084398783</v>
      </c>
      <c r="D220" s="13">
        <f t="shared" si="53"/>
        <v>-70018.644039154242</v>
      </c>
      <c r="E220" s="13">
        <f t="shared" si="54"/>
        <v>-232376.96497220127</v>
      </c>
      <c r="F220" s="13">
        <f t="shared" si="55"/>
        <v>107.70127566660719</v>
      </c>
      <c r="G220" s="13">
        <f t="shared" si="56"/>
        <v>57.10170285864784</v>
      </c>
      <c r="H220" s="13">
        <f t="shared" si="57"/>
        <v>49.400391287480055</v>
      </c>
      <c r="I220" s="13">
        <f t="shared" si="58"/>
        <v>0</v>
      </c>
      <c r="J220" s="13">
        <f t="shared" si="59"/>
        <v>101.00122645855774</v>
      </c>
      <c r="K220" s="13">
        <f t="shared" si="60"/>
        <v>17.702615227990314</v>
      </c>
      <c r="L220" s="13">
        <f t="shared" si="61"/>
        <v>-618.1911129908334</v>
      </c>
      <c r="M220" s="13">
        <f t="shared" si="62"/>
        <v>127.54634848618372</v>
      </c>
      <c r="N220" s="13">
        <f t="shared" si="63"/>
        <v>56.003502036703679</v>
      </c>
      <c r="O220" s="13">
        <f t="shared" si="73"/>
        <v>32.107018553730725</v>
      </c>
      <c r="P220" s="13">
        <f t="shared" si="64"/>
        <v>0</v>
      </c>
      <c r="Q220" s="13">
        <f t="shared" si="65"/>
        <v>0</v>
      </c>
      <c r="R220" s="27">
        <f t="shared" si="66"/>
        <v>-142.50480471306298</v>
      </c>
      <c r="S220" s="12">
        <f t="shared" si="74"/>
        <v>-1.8634590227427446</v>
      </c>
      <c r="T220" s="12">
        <f t="shared" si="75"/>
        <v>1.5694002317098976</v>
      </c>
      <c r="U220" s="12">
        <f t="shared" si="76"/>
        <v>1.5674080313914938</v>
      </c>
      <c r="V220" s="12">
        <f t="shared" si="77"/>
        <v>0</v>
      </c>
      <c r="W220" s="12">
        <f t="shared" si="78"/>
        <v>1.5707874155438839</v>
      </c>
      <c r="X220" s="12">
        <f t="shared" si="79"/>
        <v>1.4401475205881629</v>
      </c>
      <c r="Y220" s="12">
        <f t="shared" si="80"/>
        <v>2.9381258252200051</v>
      </c>
      <c r="Z220" s="12">
        <f t="shared" si="67"/>
        <v>1.5459825060281847</v>
      </c>
      <c r="AA220" s="12">
        <f t="shared" si="68"/>
        <v>0</v>
      </c>
      <c r="AB220" s="12">
        <f t="shared" si="69"/>
        <v>0</v>
      </c>
      <c r="AC220" s="12">
        <f t="shared" si="81"/>
        <v>-4.4197262844368419</v>
      </c>
      <c r="AD220" s="12">
        <f t="shared" si="70"/>
        <v>-502.94013457262599</v>
      </c>
    </row>
    <row r="221" spans="1:30" x14ac:dyDescent="0.25">
      <c r="A221" s="26">
        <f t="shared" si="82"/>
        <v>10000000</v>
      </c>
      <c r="B221" s="12">
        <f t="shared" si="51"/>
        <v>62831853.071795866</v>
      </c>
      <c r="C221" s="13">
        <f t="shared" si="52"/>
        <v>65.508739084398783</v>
      </c>
      <c r="D221" s="13">
        <f t="shared" si="53"/>
        <v>-77583.093118176475</v>
      </c>
      <c r="E221" s="13">
        <f t="shared" si="54"/>
        <v>-271361.85516027192</v>
      </c>
      <c r="F221" s="13">
        <f t="shared" si="55"/>
        <v>109.01220635566892</v>
      </c>
      <c r="G221" s="13">
        <f t="shared" si="56"/>
        <v>57.547229927557893</v>
      </c>
      <c r="H221" s="13">
        <f t="shared" si="57"/>
        <v>49.845914320429763</v>
      </c>
      <c r="I221" s="13">
        <f t="shared" si="58"/>
        <v>0</v>
      </c>
      <c r="J221" s="13">
        <f t="shared" si="59"/>
        <v>101.44675435274715</v>
      </c>
      <c r="K221" s="13">
        <f t="shared" si="60"/>
        <v>18.140950504380168</v>
      </c>
      <c r="L221" s="13">
        <f t="shared" si="61"/>
        <v>-685.08433572391527</v>
      </c>
      <c r="M221" s="13">
        <f t="shared" si="62"/>
        <v>134.25931419598288</v>
      </c>
      <c r="N221" s="13">
        <f t="shared" si="63"/>
        <v>56.878553267908543</v>
      </c>
      <c r="O221" s="13">
        <f t="shared" si="73"/>
        <v>32.552285772519731</v>
      </c>
      <c r="P221" s="13">
        <f t="shared" si="64"/>
        <v>0</v>
      </c>
      <c r="Q221" s="13">
        <f t="shared" si="65"/>
        <v>0</v>
      </c>
      <c r="R221" s="27">
        <f t="shared" si="66"/>
        <v>-145.12886692083808</v>
      </c>
      <c r="S221" s="12">
        <f t="shared" si="74"/>
        <v>-1.8492701920818255</v>
      </c>
      <c r="T221" s="12">
        <f t="shared" si="75"/>
        <v>1.5694700363801335</v>
      </c>
      <c r="U221" s="12">
        <f t="shared" si="76"/>
        <v>1.5675774449606443</v>
      </c>
      <c r="V221" s="12">
        <f t="shared" si="77"/>
        <v>0</v>
      </c>
      <c r="W221" s="12">
        <f t="shared" si="78"/>
        <v>1.5707878611064345</v>
      </c>
      <c r="X221" s="12">
        <f t="shared" si="79"/>
        <v>1.4466112742228967</v>
      </c>
      <c r="Y221" s="12">
        <f t="shared" si="80"/>
        <v>2.9480703890778455</v>
      </c>
      <c r="Z221" s="12">
        <f t="shared" si="67"/>
        <v>1.5472227253837108</v>
      </c>
      <c r="AA221" s="12">
        <f t="shared" si="68"/>
        <v>0</v>
      </c>
      <c r="AB221" s="12">
        <f t="shared" si="69"/>
        <v>0</v>
      </c>
      <c r="AC221" s="12">
        <f t="shared" si="81"/>
        <v>-4.4339151150977605</v>
      </c>
      <c r="AD221" s="12">
        <f t="shared" si="70"/>
        <v>-504.75060069505395</v>
      </c>
    </row>
    <row r="228" spans="1:2" x14ac:dyDescent="0.25">
      <c r="A228" s="12" t="s">
        <v>68</v>
      </c>
    </row>
    <row r="229" spans="1:2" x14ac:dyDescent="0.25">
      <c r="A229" s="12" t="s">
        <v>88</v>
      </c>
    </row>
    <row r="230" spans="1:2" x14ac:dyDescent="0.25">
      <c r="A230" s="12" t="s">
        <v>89</v>
      </c>
    </row>
    <row r="232" spans="1:2" x14ac:dyDescent="0.25">
      <c r="A232" s="12" t="s">
        <v>90</v>
      </c>
      <c r="B232" s="12">
        <f>INDEX(A95:A221,MATCH(0,R95:R221,-1))</f>
        <v>65000</v>
      </c>
    </row>
    <row r="233" spans="1:2" x14ac:dyDescent="0.25">
      <c r="A233" s="12" t="s">
        <v>91</v>
      </c>
      <c r="B233" s="12">
        <f>INDEX(A95:A221,MATCH(0,R95:R221,-1)+1)</f>
        <v>70000</v>
      </c>
    </row>
    <row r="234" spans="1:2" x14ac:dyDescent="0.25">
      <c r="A234" s="12" t="s">
        <v>92</v>
      </c>
      <c r="B234" s="12">
        <f>INDEX(R95:R221,MATCH(0,R95:R221,-1))</f>
        <v>0.2470284513710404</v>
      </c>
    </row>
    <row r="235" spans="1:2" x14ac:dyDescent="0.25">
      <c r="A235" s="12" t="s">
        <v>47</v>
      </c>
      <c r="B235" s="12">
        <f>INDEX(R95:R221,MATCH(0,R95:R221,-1)+1)</f>
        <v>-0.23724491430329875</v>
      </c>
    </row>
    <row r="236" spans="1:2" x14ac:dyDescent="0.25">
      <c r="A236" s="12" t="s">
        <v>18</v>
      </c>
      <c r="B236" s="12">
        <f>(B235-B234)/(B233-B232)</f>
        <v>-9.6854673134867824E-5</v>
      </c>
    </row>
    <row r="237" spans="1:2" x14ac:dyDescent="0.25">
      <c r="A237" s="12" t="s">
        <v>21</v>
      </c>
      <c r="B237" s="12">
        <f>B233-(B235/B236)</f>
        <v>67550.506272702594</v>
      </c>
    </row>
    <row r="238" spans="1:2" x14ac:dyDescent="0.25">
      <c r="A238" s="12" t="s">
        <v>93</v>
      </c>
      <c r="B238" s="12">
        <f>INDEX(AD95:AD221,MATCH(0,R95:R221,-1))</f>
        <v>-104.73717438812234</v>
      </c>
    </row>
    <row r="239" spans="1:2" x14ac:dyDescent="0.25">
      <c r="A239" s="12" t="s">
        <v>94</v>
      </c>
      <c r="B239" s="12">
        <f>INDEX(AD95:AD221,MATCH(0,R95:R221,-1)+1)</f>
        <v>-106.82541481657279</v>
      </c>
    </row>
    <row r="240" spans="1:2" x14ac:dyDescent="0.25">
      <c r="A240" s="12" t="s">
        <v>95</v>
      </c>
      <c r="B240" s="12">
        <f>(B239-B238)/(B233-B232)</f>
        <v>-4.1764808569008947E-4</v>
      </c>
    </row>
    <row r="241" spans="1:2" x14ac:dyDescent="0.25">
      <c r="A241" s="12" t="s">
        <v>70</v>
      </c>
      <c r="B241" s="12">
        <f>B240*B237+B239-(B240*B233)</f>
        <v>-105.80238845045713</v>
      </c>
    </row>
    <row r="242" spans="1:2" x14ac:dyDescent="0.25">
      <c r="A242" s="12" t="s">
        <v>22</v>
      </c>
      <c r="B242" s="12">
        <f>180+B241</f>
        <v>74.19761154954287</v>
      </c>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Helper_calcs!$A$3:$A$4</xm:f>
          </x14:formula1>
          <xm:sqref>C55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H103"/>
  <sheetViews>
    <sheetView topLeftCell="A49" zoomScaleNormal="100" workbookViewId="0">
      <selection activeCell="B55" activeCellId="12" sqref="B16 B18 B19 B20 B21 B23 B30 B37 B39 B40 C44 B50 B55"/>
    </sheetView>
  </sheetViews>
  <sheetFormatPr defaultColWidth="9" defaultRowHeight="15.75" x14ac:dyDescent="0.25"/>
  <cols>
    <col min="1" max="1" width="35.5" style="5" customWidth="1"/>
    <col min="2" max="2" width="22.375" style="5" customWidth="1"/>
    <col min="3" max="3" width="15.75" style="5" customWidth="1"/>
    <col min="4" max="4" width="22.125" style="5" customWidth="1"/>
    <col min="5" max="5" width="30.75" style="5" customWidth="1"/>
    <col min="6" max="7" width="9" style="5"/>
    <col min="8" max="8" width="10.25" style="5" bestFit="1" customWidth="1"/>
    <col min="9" max="16384" width="9" style="5"/>
  </cols>
  <sheetData>
    <row r="3" spans="1:1" x14ac:dyDescent="0.25">
      <c r="A3" s="11"/>
    </row>
    <row r="13" spans="1:1" x14ac:dyDescent="0.25">
      <c r="A13" s="11">
        <v>43882</v>
      </c>
    </row>
    <row r="45" spans="1:1" x14ac:dyDescent="0.25">
      <c r="A45" s="35"/>
    </row>
    <row r="46" spans="1:1" x14ac:dyDescent="0.25">
      <c r="A46" s="35"/>
    </row>
    <row r="50" spans="1:8" x14ac:dyDescent="0.25">
      <c r="B50" s="8" t="s">
        <v>96</v>
      </c>
      <c r="C50" s="8" t="s">
        <v>97</v>
      </c>
      <c r="D50" s="8" t="s">
        <v>98</v>
      </c>
      <c r="E50" s="8" t="s">
        <v>220</v>
      </c>
    </row>
    <row r="51" spans="1:8" x14ac:dyDescent="0.25">
      <c r="A51" s="5" t="s">
        <v>99</v>
      </c>
      <c r="B51" s="28">
        <v>360800</v>
      </c>
      <c r="C51" s="28">
        <v>360800</v>
      </c>
      <c r="D51" s="28">
        <v>360800</v>
      </c>
      <c r="E51" s="28">
        <v>360800</v>
      </c>
    </row>
    <row r="52" spans="1:8" x14ac:dyDescent="0.25">
      <c r="A52" s="5" t="s">
        <v>100</v>
      </c>
      <c r="B52" s="28">
        <v>1052000</v>
      </c>
      <c r="C52" s="28">
        <v>1052000</v>
      </c>
      <c r="D52" s="28">
        <v>1052000</v>
      </c>
      <c r="E52" s="28">
        <v>1052000</v>
      </c>
      <c r="H52" s="29"/>
    </row>
    <row r="53" spans="1:8" x14ac:dyDescent="0.25">
      <c r="A53" s="5" t="s">
        <v>101</v>
      </c>
      <c r="B53" s="28">
        <v>353280</v>
      </c>
      <c r="C53" s="28">
        <v>353280</v>
      </c>
      <c r="D53" s="28" t="s">
        <v>102</v>
      </c>
      <c r="E53" s="28" t="s">
        <v>102</v>
      </c>
      <c r="H53" s="29"/>
    </row>
    <row r="54" spans="1:8" x14ac:dyDescent="0.25">
      <c r="A54" s="5" t="s">
        <v>103</v>
      </c>
      <c r="B54" s="28">
        <v>0</v>
      </c>
      <c r="C54" s="28">
        <v>261130</v>
      </c>
      <c r="D54" s="28" t="s">
        <v>102</v>
      </c>
      <c r="E54" s="28" t="s">
        <v>102</v>
      </c>
      <c r="H54" s="29"/>
    </row>
    <row r="55" spans="1:8" x14ac:dyDescent="0.25">
      <c r="A55" s="35" t="s">
        <v>104</v>
      </c>
      <c r="B55" s="28">
        <v>4.6999999999999998E-12</v>
      </c>
      <c r="C55" s="28">
        <v>4.6999999999999998E-12</v>
      </c>
      <c r="D55" s="28">
        <v>4.6999999999999998E-12</v>
      </c>
      <c r="E55" s="28">
        <v>4.6999999999999998E-12</v>
      </c>
      <c r="H55" s="29"/>
    </row>
    <row r="56" spans="1:8" x14ac:dyDescent="0.25">
      <c r="A56" s="5" t="s">
        <v>105</v>
      </c>
      <c r="B56" s="28">
        <v>4.8700000000000005E-13</v>
      </c>
      <c r="C56" s="28">
        <v>4.8700000000000005E-13</v>
      </c>
      <c r="D56" s="28">
        <v>4.8700000000000005E-13</v>
      </c>
      <c r="E56" s="28">
        <v>4.8700000000000005E-13</v>
      </c>
      <c r="H56" s="29"/>
    </row>
    <row r="57" spans="1:8" x14ac:dyDescent="0.25">
      <c r="A57" s="5" t="s">
        <v>106</v>
      </c>
      <c r="B57" s="28">
        <v>1E-13</v>
      </c>
      <c r="C57" s="28">
        <v>1E-13</v>
      </c>
      <c r="D57" s="28">
        <v>1E-13</v>
      </c>
      <c r="E57" s="28">
        <v>1E-13</v>
      </c>
      <c r="H57" s="29"/>
    </row>
    <row r="58" spans="1:8" x14ac:dyDescent="0.25">
      <c r="A58"/>
      <c r="B58"/>
      <c r="C58"/>
      <c r="D58"/>
      <c r="H58" s="29"/>
    </row>
    <row r="59" spans="1:8" x14ac:dyDescent="0.25">
      <c r="A59" s="35" t="s">
        <v>110</v>
      </c>
      <c r="B59"/>
      <c r="C59"/>
      <c r="D59" s="36">
        <f>loop_gain!B24</f>
        <v>100000</v>
      </c>
      <c r="E59" s="113">
        <v>0</v>
      </c>
      <c r="H59" s="29"/>
    </row>
    <row r="60" spans="1:8" x14ac:dyDescent="0.25">
      <c r="A60" s="35" t="s">
        <v>111</v>
      </c>
      <c r="B60"/>
      <c r="C60"/>
      <c r="D60" s="36" t="e">
        <f>loop_gain!B25</f>
        <v>#VALUE!</v>
      </c>
      <c r="E60" s="114">
        <v>10000000000</v>
      </c>
      <c r="H60" s="29"/>
    </row>
    <row r="61" spans="1:8" x14ac:dyDescent="0.25">
      <c r="A61" s="35" t="s">
        <v>126</v>
      </c>
      <c r="B61"/>
      <c r="C61"/>
      <c r="D61" s="36">
        <f>loop_gain!B23</f>
        <v>7.5E-11</v>
      </c>
      <c r="E61" s="113">
        <v>0</v>
      </c>
      <c r="H61" s="29"/>
    </row>
    <row r="62" spans="1:8" x14ac:dyDescent="0.25">
      <c r="A62" s="35" t="s">
        <v>67</v>
      </c>
      <c r="D62" s="36" t="e">
        <f>(D59*D60)/(D59+D60)</f>
        <v>#VALUE!</v>
      </c>
      <c r="E62" s="114">
        <f>E59*E60/(E59+E60)</f>
        <v>0</v>
      </c>
      <c r="H62" s="30"/>
    </row>
    <row r="64" spans="1:8" x14ac:dyDescent="0.25">
      <c r="B64" s="29">
        <f>1/(1/(B51+B53+B54)+1/(B52))</f>
        <v>425355.68037687981</v>
      </c>
      <c r="C64" s="29">
        <f>1/(1/(C51+C53+C54)+1/(C52))</f>
        <v>506075.30546909297</v>
      </c>
      <c r="H64" s="29"/>
    </row>
    <row r="65" spans="1:8" x14ac:dyDescent="0.25">
      <c r="B65" s="31">
        <f>1/(1/(B51)+1/(B53+B54))</f>
        <v>178500.20165807754</v>
      </c>
      <c r="C65" s="31">
        <f>1/(1/(C51)+1/(C53+C54))</f>
        <v>227314.24821320537</v>
      </c>
      <c r="D65" s="32"/>
      <c r="H65" s="30"/>
    </row>
    <row r="68" spans="1:8" x14ac:dyDescent="0.25">
      <c r="B68" s="8" t="s">
        <v>96</v>
      </c>
      <c r="C68" s="8" t="s">
        <v>97</v>
      </c>
      <c r="D68" s="8" t="s">
        <v>98</v>
      </c>
      <c r="E68" s="8" t="s">
        <v>220</v>
      </c>
    </row>
    <row r="69" spans="1:8" x14ac:dyDescent="0.25">
      <c r="A69" s="35" t="s">
        <v>49</v>
      </c>
      <c r="B69" s="36">
        <v>0</v>
      </c>
      <c r="C69" s="36">
        <v>0</v>
      </c>
      <c r="D69" s="36" t="e">
        <f>D51*D52*D62*D56*D55*D61</f>
        <v>#VALUE!</v>
      </c>
      <c r="E69" s="115">
        <f>E51*E52*E62*E56*E55*E61</f>
        <v>0</v>
      </c>
    </row>
    <row r="70" spans="1:8" x14ac:dyDescent="0.25">
      <c r="A70" s="35" t="s">
        <v>50</v>
      </c>
      <c r="B70" s="38">
        <f>((B51*B52*(B53+B54))/(B51+B52+B53+B54))*B55*B56</f>
        <v>1.7378719243503534E-13</v>
      </c>
      <c r="C70" s="38">
        <f>((C51*C52*(C53+C54))/(C51+C52+C53+C54))*C55*C56</f>
        <v>2.6331077026816087E-13</v>
      </c>
      <c r="D70" s="36" t="e">
        <f>D62*D52*(D61*D55+D56*D55+D56*D61)+D51*D56*(D62*D61+D52*D55)</f>
        <v>#VALUE!</v>
      </c>
      <c r="E70" s="116">
        <f>E62*E52*(E61*E55+E56*E55+E56*E61)+E51*E56*(E62*E61+E52*E55)</f>
        <v>8.6877854623999997E-13</v>
      </c>
    </row>
    <row r="71" spans="1:8" x14ac:dyDescent="0.25">
      <c r="A71" s="35" t="s">
        <v>119</v>
      </c>
      <c r="B71" s="38">
        <f>B80+B86</f>
        <v>2.1368033510418549E-6</v>
      </c>
      <c r="C71" s="38">
        <f>C80+C86</f>
        <v>2.587084242962495E-6</v>
      </c>
      <c r="D71" s="36" t="e">
        <f>D61*D62+D52*D55+D56*(D62+D51+D52)</f>
        <v>#VALUE!</v>
      </c>
      <c r="E71" s="116">
        <f>E61*E62+E52*E55+E56*(E62+E51+E52)</f>
        <v>5.6324335999999996E-6</v>
      </c>
      <c r="H71" s="30"/>
    </row>
    <row r="72" spans="1:8" x14ac:dyDescent="0.25">
      <c r="A72" s="35" t="s">
        <v>127</v>
      </c>
      <c r="B72" s="37">
        <v>0</v>
      </c>
      <c r="C72" s="37">
        <v>0</v>
      </c>
      <c r="D72" s="36">
        <f>D59*D61</f>
        <v>7.5000000000000002E-6</v>
      </c>
      <c r="E72" s="116">
        <f>E59*E61</f>
        <v>0</v>
      </c>
      <c r="H72" s="29"/>
    </row>
    <row r="73" spans="1:8" x14ac:dyDescent="0.25">
      <c r="A73" s="35" t="s">
        <v>128</v>
      </c>
      <c r="B73" s="36">
        <f>B52*B55</f>
        <v>4.9443999999999996E-6</v>
      </c>
      <c r="C73" s="36">
        <f>C52*C55</f>
        <v>4.9443999999999996E-6</v>
      </c>
      <c r="D73" s="36">
        <f>D52*D55</f>
        <v>4.9443999999999996E-6</v>
      </c>
      <c r="E73" s="116">
        <f>E52*E55</f>
        <v>4.9443999999999996E-6</v>
      </c>
    </row>
    <row r="78" spans="1:8" x14ac:dyDescent="0.25">
      <c r="B78" s="29">
        <f>B51+B53+B54</f>
        <v>714080</v>
      </c>
      <c r="C78" s="29">
        <f>C51+C53+C54</f>
        <v>975210</v>
      </c>
    </row>
    <row r="79" spans="1:8" x14ac:dyDescent="0.25">
      <c r="B79" s="29">
        <f>1/((1/B78)+(1/B52))</f>
        <v>425355.68037687981</v>
      </c>
      <c r="C79" s="29">
        <f>1/((1/C78)+(1/C52))</f>
        <v>506075.30546909297</v>
      </c>
    </row>
    <row r="80" spans="1:8" x14ac:dyDescent="0.25">
      <c r="A80"/>
      <c r="B80" s="29">
        <f>B79*B55</f>
        <v>1.9991716977713349E-6</v>
      </c>
      <c r="C80" s="29">
        <f>C79*C55</f>
        <v>2.3785539357047368E-6</v>
      </c>
      <c r="D80"/>
      <c r="E80"/>
    </row>
    <row r="81" spans="1:5" x14ac:dyDescent="0.25">
      <c r="A81"/>
      <c r="D81"/>
      <c r="E81"/>
    </row>
    <row r="82" spans="1:5" x14ac:dyDescent="0.25">
      <c r="A82"/>
      <c r="D82"/>
      <c r="E82"/>
    </row>
    <row r="83" spans="1:5" x14ac:dyDescent="0.25">
      <c r="A83"/>
      <c r="B83" s="29">
        <f>B51+B52</f>
        <v>1412800</v>
      </c>
      <c r="C83" s="29">
        <f>C51+C52</f>
        <v>1412800</v>
      </c>
      <c r="D83"/>
      <c r="E83"/>
    </row>
    <row r="84" spans="1:5" x14ac:dyDescent="0.25">
      <c r="A84"/>
      <c r="B84" s="29">
        <f>B53+B54</f>
        <v>353280</v>
      </c>
      <c r="C84" s="29">
        <f>C53+C54</f>
        <v>614410</v>
      </c>
      <c r="D84"/>
      <c r="E84"/>
    </row>
    <row r="85" spans="1:5" x14ac:dyDescent="0.25">
      <c r="A85"/>
      <c r="B85" s="29">
        <f>1/((1/B83)+(1/B84))</f>
        <v>282611.19768073922</v>
      </c>
      <c r="C85" s="29">
        <f>1/((1/C83)+(1/C84))</f>
        <v>428193.64939991414</v>
      </c>
      <c r="D85"/>
      <c r="E85"/>
    </row>
    <row r="86" spans="1:5" x14ac:dyDescent="0.25">
      <c r="A86"/>
      <c r="B86" s="29">
        <f>B85*B56</f>
        <v>1.3763165327052002E-7</v>
      </c>
      <c r="C86" s="29">
        <f>C85*C56</f>
        <v>2.0853030725775822E-7</v>
      </c>
      <c r="D86"/>
      <c r="E86"/>
    </row>
    <row r="87" spans="1:5" x14ac:dyDescent="0.25">
      <c r="A87"/>
      <c r="B87"/>
      <c r="C87"/>
      <c r="D87"/>
      <c r="E87"/>
    </row>
    <row r="88" spans="1:5" x14ac:dyDescent="0.25">
      <c r="A88"/>
      <c r="B88"/>
      <c r="C88"/>
      <c r="D88"/>
      <c r="E88"/>
    </row>
    <row r="89" spans="1:5" x14ac:dyDescent="0.25">
      <c r="A89"/>
      <c r="B89"/>
      <c r="C89"/>
      <c r="D89"/>
      <c r="E89"/>
    </row>
    <row r="90" spans="1:5" x14ac:dyDescent="0.25">
      <c r="A90"/>
      <c r="B90"/>
      <c r="C90"/>
      <c r="D90"/>
      <c r="E90"/>
    </row>
    <row r="91" spans="1:5" x14ac:dyDescent="0.25">
      <c r="A91"/>
      <c r="B91"/>
      <c r="C91"/>
      <c r="D91"/>
      <c r="E91"/>
    </row>
    <row r="100" spans="1:4" x14ac:dyDescent="0.25">
      <c r="B100" s="8"/>
      <c r="C100" s="8"/>
      <c r="D100" s="8"/>
    </row>
    <row r="101" spans="1:4" x14ac:dyDescent="0.25">
      <c r="A101"/>
      <c r="B101"/>
      <c r="C101"/>
      <c r="D101"/>
    </row>
    <row r="102" spans="1:4" x14ac:dyDescent="0.25">
      <c r="A102"/>
      <c r="B102"/>
      <c r="C102"/>
      <c r="D102"/>
    </row>
    <row r="103" spans="1:4" x14ac:dyDescent="0.25">
      <c r="A103"/>
      <c r="B103"/>
      <c r="C103"/>
      <c r="D103"/>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P102"/>
  <sheetViews>
    <sheetView workbookViewId="0">
      <selection activeCell="E29" sqref="E29:E30"/>
    </sheetView>
  </sheetViews>
  <sheetFormatPr defaultColWidth="9" defaultRowHeight="15.75" x14ac:dyDescent="0.25"/>
  <cols>
    <col min="1" max="1" width="24.25" style="5" customWidth="1"/>
    <col min="2" max="2" width="13.5" style="5" customWidth="1"/>
    <col min="3" max="3" width="14.25" style="5" customWidth="1"/>
    <col min="4" max="4" width="9" style="5"/>
    <col min="5" max="5" width="12.125" style="5" customWidth="1"/>
    <col min="6" max="7" width="9" style="5"/>
    <col min="8" max="8" width="2.75" style="5" customWidth="1"/>
    <col min="9" max="9" width="10.25" style="5" customWidth="1"/>
    <col min="10" max="11" width="9" style="5"/>
    <col min="12" max="12" width="1.5" style="5" customWidth="1"/>
    <col min="13" max="13" width="12.875" style="5" customWidth="1"/>
    <col min="14" max="14" width="12.5" style="5" customWidth="1"/>
    <col min="15" max="15" width="10.125" style="5" customWidth="1"/>
    <col min="16" max="16" width="10.375" style="5" customWidth="1"/>
    <col min="17" max="16384" width="9" style="5"/>
  </cols>
  <sheetData>
    <row r="4" spans="1:3" x14ac:dyDescent="0.25">
      <c r="A4" s="11">
        <v>43873</v>
      </c>
    </row>
    <row r="6" spans="1:3" x14ac:dyDescent="0.25">
      <c r="A6" s="7" t="s">
        <v>24</v>
      </c>
    </row>
    <row r="7" spans="1:3" x14ac:dyDescent="0.25">
      <c r="B7" s="8" t="s">
        <v>23</v>
      </c>
      <c r="C7" s="8" t="s">
        <v>17</v>
      </c>
    </row>
    <row r="8" spans="1:3" x14ac:dyDescent="0.25">
      <c r="A8" s="8" t="s">
        <v>31</v>
      </c>
      <c r="B8" s="5">
        <v>36</v>
      </c>
      <c r="C8" s="5">
        <v>16</v>
      </c>
    </row>
    <row r="9" spans="1:3" x14ac:dyDescent="0.25">
      <c r="A9" s="8" t="s">
        <v>30</v>
      </c>
      <c r="B9" s="5">
        <v>18</v>
      </c>
      <c r="C9" s="5">
        <v>8</v>
      </c>
    </row>
    <row r="11" spans="1:3" x14ac:dyDescent="0.25">
      <c r="A11" s="5" t="s">
        <v>18</v>
      </c>
      <c r="B11" s="5">
        <f>(B9-B8)/1700</f>
        <v>-1.0588235294117647E-2</v>
      </c>
      <c r="C11" s="5">
        <f>(C9-C8)/1700</f>
        <v>-4.7058823529411761E-3</v>
      </c>
    </row>
    <row r="13" spans="1:3" x14ac:dyDescent="0.25">
      <c r="B13" s="8" t="s">
        <v>32</v>
      </c>
      <c r="C13" s="8" t="s">
        <v>33</v>
      </c>
    </row>
    <row r="14" spans="1:3" x14ac:dyDescent="0.25">
      <c r="A14" s="5" t="s">
        <v>19</v>
      </c>
      <c r="B14" s="5">
        <v>3.3</v>
      </c>
      <c r="C14" s="5">
        <v>5</v>
      </c>
    </row>
    <row r="17" spans="1:16" x14ac:dyDescent="0.25">
      <c r="A17" s="8" t="s">
        <v>26</v>
      </c>
      <c r="B17" s="6">
        <f>($C$14/Main!B19)*(Main!B21*$B$11+1.236*$B$8-0.236*$B$9)</f>
        <v>18.012705882352947</v>
      </c>
      <c r="C17" s="9" t="s">
        <v>25</v>
      </c>
      <c r="E17" s="6"/>
    </row>
    <row r="18" spans="1:16" x14ac:dyDescent="0.25">
      <c r="A18" s="8" t="s">
        <v>27</v>
      </c>
      <c r="B18" s="6">
        <f>($C$14/Main!B19)*(Main!B21*$C$11+1.236*$C$8-0.236*$C$9)</f>
        <v>8.0056470588235307</v>
      </c>
      <c r="C18" s="9" t="s">
        <v>25</v>
      </c>
    </row>
    <row r="19" spans="1:16" x14ac:dyDescent="0.25">
      <c r="A19" s="8" t="s">
        <v>28</v>
      </c>
      <c r="B19" s="6">
        <f>($B$14/Main!B19)*(Main!B21*$B$11+1.236*$B$8-0.236*$B$9)</f>
        <v>11.888385882352944</v>
      </c>
      <c r="C19" s="9" t="s">
        <v>25</v>
      </c>
    </row>
    <row r="20" spans="1:16" x14ac:dyDescent="0.25">
      <c r="A20" s="8" t="s">
        <v>29</v>
      </c>
      <c r="B20" s="10">
        <f>($B$14/Main!B19)*(Main!B21*$C$11+1.236*$C$8-0.236*$C$9)</f>
        <v>5.2837270588235299</v>
      </c>
      <c r="C20" s="9" t="s">
        <v>25</v>
      </c>
    </row>
    <row r="21" spans="1:16" x14ac:dyDescent="0.25">
      <c r="A21" s="8"/>
      <c r="C21" s="9"/>
    </row>
    <row r="22" spans="1:16" x14ac:dyDescent="0.25">
      <c r="A22" s="8" t="s">
        <v>16</v>
      </c>
      <c r="B22" s="6">
        <f>IF(AND(Main!B19&gt;=4.2,Helper_calcs!B10=1.5),cout_min_calc!B18,IF(AND(Main!B19&gt;=4.2,Helper_calcs!B10&gt;=2.5),cout_min_calc!B17,IF(AND(Main!B19&lt;4.2,Helper_calcs!B10=1.5),cout_min_calc!B20,IF(AND(Main!B19&lt;4.2,Helper_calcs!B10&gt;=2.5),cout_min_calc!B19,x))))</f>
        <v>18.012705882352947</v>
      </c>
      <c r="C22" s="9" t="s">
        <v>25</v>
      </c>
    </row>
    <row r="23" spans="1:16" x14ac:dyDescent="0.25">
      <c r="A23" s="8"/>
      <c r="C23" s="9"/>
    </row>
    <row r="24" spans="1:16" x14ac:dyDescent="0.25">
      <c r="A24" s="8"/>
      <c r="C24" s="9"/>
    </row>
    <row r="26" spans="1:16" x14ac:dyDescent="0.25">
      <c r="A26" s="7"/>
    </row>
    <row r="27" spans="1:16" x14ac:dyDescent="0.25">
      <c r="A27" s="7"/>
    </row>
    <row r="30" spans="1:16" x14ac:dyDescent="0.25">
      <c r="E30" s="6"/>
      <c r="O30" s="6"/>
      <c r="P30" s="6"/>
    </row>
    <row r="31" spans="1:16" x14ac:dyDescent="0.25">
      <c r="E31" s="6"/>
      <c r="O31" s="6"/>
      <c r="P31" s="6"/>
    </row>
    <row r="32" spans="1:16" x14ac:dyDescent="0.25">
      <c r="E32" s="6"/>
      <c r="O32" s="6"/>
      <c r="P32" s="6"/>
    </row>
    <row r="33" spans="5:16" x14ac:dyDescent="0.25">
      <c r="E33" s="6"/>
      <c r="O33" s="6"/>
      <c r="P33" s="6"/>
    </row>
    <row r="34" spans="5:16" x14ac:dyDescent="0.25">
      <c r="E34" s="6"/>
      <c r="O34" s="6"/>
      <c r="P34" s="6"/>
    </row>
    <row r="35" spans="5:16" x14ac:dyDescent="0.25">
      <c r="E35" s="6"/>
      <c r="O35" s="6"/>
      <c r="P35" s="6"/>
    </row>
    <row r="36" spans="5:16" x14ac:dyDescent="0.25">
      <c r="E36" s="6"/>
      <c r="O36" s="6"/>
      <c r="P36" s="6"/>
    </row>
    <row r="37" spans="5:16" x14ac:dyDescent="0.25">
      <c r="E37" s="6"/>
      <c r="O37" s="6"/>
      <c r="P37" s="6"/>
    </row>
    <row r="38" spans="5:16" x14ac:dyDescent="0.25">
      <c r="E38" s="6"/>
      <c r="O38" s="6"/>
      <c r="P38" s="6"/>
    </row>
    <row r="39" spans="5:16" x14ac:dyDescent="0.25">
      <c r="E39" s="6"/>
      <c r="O39" s="6"/>
      <c r="P39" s="6"/>
    </row>
    <row r="40" spans="5:16" x14ac:dyDescent="0.25">
      <c r="E40" s="6"/>
      <c r="O40" s="6"/>
      <c r="P40" s="6"/>
    </row>
    <row r="41" spans="5:16" x14ac:dyDescent="0.25">
      <c r="E41" s="6"/>
      <c r="O41" s="6"/>
      <c r="P41" s="6"/>
    </row>
    <row r="42" spans="5:16" x14ac:dyDescent="0.25">
      <c r="E42" s="6"/>
      <c r="O42" s="6"/>
      <c r="P42" s="6"/>
    </row>
    <row r="43" spans="5:16" x14ac:dyDescent="0.25">
      <c r="E43" s="6"/>
      <c r="O43" s="6"/>
      <c r="P43" s="6"/>
    </row>
    <row r="44" spans="5:16" x14ac:dyDescent="0.25">
      <c r="E44" s="6"/>
      <c r="O44" s="6"/>
      <c r="P44" s="6"/>
    </row>
    <row r="45" spans="5:16" x14ac:dyDescent="0.25">
      <c r="E45" s="6"/>
      <c r="O45" s="6"/>
      <c r="P45" s="6"/>
    </row>
    <row r="46" spans="5:16" x14ac:dyDescent="0.25">
      <c r="E46" s="6"/>
      <c r="O46" s="6"/>
      <c r="P46" s="6"/>
    </row>
    <row r="47" spans="5:16" x14ac:dyDescent="0.25">
      <c r="E47" s="6"/>
      <c r="O47" s="6"/>
      <c r="P47" s="6"/>
    </row>
    <row r="48" spans="5:16" x14ac:dyDescent="0.25">
      <c r="E48" s="6"/>
      <c r="O48" s="6"/>
      <c r="P48" s="6"/>
    </row>
    <row r="52" spans="1:5" x14ac:dyDescent="0.25">
      <c r="A52" s="7"/>
    </row>
    <row r="54" spans="1:5" x14ac:dyDescent="0.25">
      <c r="E54" s="6"/>
    </row>
    <row r="55" spans="1:5" x14ac:dyDescent="0.25">
      <c r="E55" s="6"/>
    </row>
    <row r="56" spans="1:5" x14ac:dyDescent="0.25">
      <c r="E56" s="6"/>
    </row>
    <row r="57" spans="1:5" x14ac:dyDescent="0.25">
      <c r="E57" s="6"/>
    </row>
    <row r="58" spans="1:5" x14ac:dyDescent="0.25">
      <c r="E58" s="6"/>
    </row>
    <row r="59" spans="1:5" x14ac:dyDescent="0.25">
      <c r="E59" s="6"/>
    </row>
    <row r="60" spans="1:5" x14ac:dyDescent="0.25">
      <c r="E60" s="6"/>
    </row>
    <row r="61" spans="1:5" x14ac:dyDescent="0.25">
      <c r="E61" s="6"/>
    </row>
    <row r="62" spans="1:5" x14ac:dyDescent="0.25">
      <c r="E62" s="6"/>
    </row>
    <row r="63" spans="1:5" x14ac:dyDescent="0.25">
      <c r="E63" s="6"/>
    </row>
    <row r="64" spans="1:5" x14ac:dyDescent="0.25">
      <c r="E64" s="6"/>
    </row>
    <row r="65" spans="1:5" x14ac:dyDescent="0.25">
      <c r="E65" s="6"/>
    </row>
    <row r="66" spans="1:5" x14ac:dyDescent="0.25">
      <c r="E66" s="6"/>
    </row>
    <row r="67" spans="1:5" x14ac:dyDescent="0.25">
      <c r="E67" s="6"/>
    </row>
    <row r="68" spans="1:5" x14ac:dyDescent="0.25">
      <c r="E68" s="6"/>
    </row>
    <row r="69" spans="1:5" x14ac:dyDescent="0.25">
      <c r="E69" s="6"/>
    </row>
    <row r="70" spans="1:5" x14ac:dyDescent="0.25">
      <c r="E70" s="6"/>
    </row>
    <row r="71" spans="1:5" x14ac:dyDescent="0.25">
      <c r="E71" s="6"/>
    </row>
    <row r="72" spans="1:5" x14ac:dyDescent="0.25">
      <c r="E72" s="6"/>
    </row>
    <row r="80" spans="1:5" x14ac:dyDescent="0.25">
      <c r="A80" s="7"/>
    </row>
    <row r="81" spans="1:16" x14ac:dyDescent="0.25">
      <c r="A81" s="7"/>
    </row>
    <row r="84" spans="1:16" x14ac:dyDescent="0.25">
      <c r="E84" s="6"/>
      <c r="O84" s="6"/>
      <c r="P84" s="6"/>
    </row>
    <row r="85" spans="1:16" x14ac:dyDescent="0.25">
      <c r="E85" s="6"/>
      <c r="O85" s="6"/>
      <c r="P85" s="6"/>
    </row>
    <row r="86" spans="1:16" x14ac:dyDescent="0.25">
      <c r="E86" s="6"/>
      <c r="O86" s="6"/>
      <c r="P86" s="6"/>
    </row>
    <row r="87" spans="1:16" x14ac:dyDescent="0.25">
      <c r="E87" s="6"/>
      <c r="O87" s="6"/>
      <c r="P87" s="6"/>
    </row>
    <row r="88" spans="1:16" x14ac:dyDescent="0.25">
      <c r="E88" s="6"/>
      <c r="O88" s="6"/>
      <c r="P88" s="6"/>
    </row>
    <row r="89" spans="1:16" x14ac:dyDescent="0.25">
      <c r="E89" s="6"/>
      <c r="O89" s="6"/>
      <c r="P89" s="6"/>
    </row>
    <row r="90" spans="1:16" x14ac:dyDescent="0.25">
      <c r="E90" s="6"/>
      <c r="O90" s="6"/>
      <c r="P90" s="6"/>
    </row>
    <row r="91" spans="1:16" x14ac:dyDescent="0.25">
      <c r="E91" s="6"/>
      <c r="O91" s="6"/>
      <c r="P91" s="6"/>
    </row>
    <row r="92" spans="1:16" x14ac:dyDescent="0.25">
      <c r="E92" s="6"/>
      <c r="O92" s="6"/>
      <c r="P92" s="6"/>
    </row>
    <row r="93" spans="1:16" x14ac:dyDescent="0.25">
      <c r="E93" s="6"/>
      <c r="O93" s="6"/>
      <c r="P93" s="6"/>
    </row>
    <row r="94" spans="1:16" x14ac:dyDescent="0.25">
      <c r="E94" s="6"/>
      <c r="O94" s="6"/>
      <c r="P94" s="6"/>
    </row>
    <row r="95" spans="1:16" x14ac:dyDescent="0.25">
      <c r="E95" s="6"/>
      <c r="O95" s="6"/>
      <c r="P95" s="6"/>
    </row>
    <row r="96" spans="1:16" x14ac:dyDescent="0.25">
      <c r="E96" s="6"/>
      <c r="O96" s="6"/>
      <c r="P96" s="6"/>
    </row>
    <row r="97" spans="5:16" x14ac:dyDescent="0.25">
      <c r="E97" s="6"/>
      <c r="O97" s="6"/>
      <c r="P97" s="6"/>
    </row>
    <row r="98" spans="5:16" x14ac:dyDescent="0.25">
      <c r="E98" s="6"/>
      <c r="O98" s="6"/>
      <c r="P98" s="6"/>
    </row>
    <row r="99" spans="5:16" x14ac:dyDescent="0.25">
      <c r="E99" s="6"/>
      <c r="O99" s="6"/>
      <c r="P99" s="6"/>
    </row>
    <row r="100" spans="5:16" x14ac:dyDescent="0.25">
      <c r="E100" s="6"/>
      <c r="O100" s="6"/>
      <c r="P100" s="6"/>
    </row>
    <row r="101" spans="5:16" x14ac:dyDescent="0.25">
      <c r="E101" s="6"/>
      <c r="O101" s="6"/>
      <c r="P101" s="6"/>
    </row>
    <row r="102" spans="5:16" x14ac:dyDescent="0.25">
      <c r="E102" s="6"/>
      <c r="O102" s="6"/>
      <c r="P102" s="6"/>
    </row>
  </sheetData>
  <pageMargins left="0.7" right="0.7" top="0.75" bottom="0.75" header="0.3" footer="0.3"/>
  <pageSetup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P102"/>
  <sheetViews>
    <sheetView workbookViewId="0">
      <selection activeCell="B55" activeCellId="12" sqref="B16 B18 B19 B20 B21 B23 B30 B37 B39 B40 C44 B50 B55"/>
    </sheetView>
  </sheetViews>
  <sheetFormatPr defaultColWidth="9" defaultRowHeight="15.75" x14ac:dyDescent="0.25"/>
  <cols>
    <col min="1" max="1" width="24.25" style="5" customWidth="1"/>
    <col min="2" max="2" width="13.5" style="5" customWidth="1"/>
    <col min="3" max="3" width="14.25" style="5" customWidth="1"/>
    <col min="4" max="4" width="9" style="5"/>
    <col min="5" max="5" width="12.125" style="5" customWidth="1"/>
    <col min="6" max="7" width="9" style="5"/>
    <col min="8" max="8" width="2.75" style="5" customWidth="1"/>
    <col min="9" max="9" width="10.25" style="5" customWidth="1"/>
    <col min="10" max="11" width="9" style="5"/>
    <col min="12" max="12" width="1.5" style="5" customWidth="1"/>
    <col min="13" max="13" width="12.875" style="5" customWidth="1"/>
    <col min="14" max="14" width="12.5" style="5" customWidth="1"/>
    <col min="15" max="15" width="10.125" style="5" customWidth="1"/>
    <col min="16" max="16" width="10.375" style="5" customWidth="1"/>
    <col min="17" max="16384" width="9" style="5"/>
  </cols>
  <sheetData>
    <row r="4" spans="1:3" x14ac:dyDescent="0.25">
      <c r="A4" s="11">
        <v>43873</v>
      </c>
    </row>
    <row r="6" spans="1:3" x14ac:dyDescent="0.25">
      <c r="A6" s="7" t="s">
        <v>24</v>
      </c>
    </row>
    <row r="7" spans="1:3" x14ac:dyDescent="0.25">
      <c r="B7" s="8" t="s">
        <v>23</v>
      </c>
      <c r="C7" s="8" t="s">
        <v>17</v>
      </c>
    </row>
    <row r="8" spans="1:3" x14ac:dyDescent="0.25">
      <c r="A8" s="8" t="s">
        <v>31</v>
      </c>
      <c r="B8" s="5">
        <v>55</v>
      </c>
      <c r="C8" s="5">
        <v>36</v>
      </c>
    </row>
    <row r="9" spans="1:3" x14ac:dyDescent="0.25">
      <c r="A9" s="8" t="s">
        <v>30</v>
      </c>
      <c r="B9" s="5">
        <v>36</v>
      </c>
      <c r="C9" s="5">
        <v>18</v>
      </c>
    </row>
    <row r="11" spans="1:3" x14ac:dyDescent="0.25">
      <c r="A11" s="5" t="s">
        <v>18</v>
      </c>
      <c r="B11" s="5">
        <f>(B9-B8)/1700</f>
        <v>-1.1176470588235295E-2</v>
      </c>
      <c r="C11" s="5">
        <f>(C9-C8)/1700</f>
        <v>-1.0588235294117647E-2</v>
      </c>
    </row>
    <row r="13" spans="1:3" x14ac:dyDescent="0.25">
      <c r="B13" s="8" t="s">
        <v>32</v>
      </c>
      <c r="C13" s="8" t="s">
        <v>33</v>
      </c>
    </row>
    <row r="14" spans="1:3" x14ac:dyDescent="0.25">
      <c r="A14" s="5" t="s">
        <v>19</v>
      </c>
      <c r="B14" s="5">
        <v>3.3</v>
      </c>
      <c r="C14" s="5">
        <v>5</v>
      </c>
    </row>
    <row r="17" spans="1:16" x14ac:dyDescent="0.25">
      <c r="A17" s="8" t="s">
        <v>26</v>
      </c>
      <c r="B17" s="6">
        <f>($C$14/Main!B19)*(Main!B21*$B$11+1.236*$B$8-0.236*$B$9)</f>
        <v>36.013411764705893</v>
      </c>
      <c r="C17" s="9" t="s">
        <v>25</v>
      </c>
      <c r="E17" s="6"/>
    </row>
    <row r="18" spans="1:16" x14ac:dyDescent="0.25">
      <c r="A18" s="8" t="s">
        <v>27</v>
      </c>
      <c r="B18" s="6">
        <f>($C$14/Main!B19)*(Main!B21*$C$11+1.236*$C$8-0.236*$C$9)</f>
        <v>18.012705882352947</v>
      </c>
      <c r="C18" s="9" t="s">
        <v>25</v>
      </c>
    </row>
    <row r="19" spans="1:16" x14ac:dyDescent="0.25">
      <c r="A19" s="8" t="s">
        <v>28</v>
      </c>
      <c r="B19" s="6">
        <f>($B$14/Main!B19)*(Main!B21*$B$11+1.236*$B$8-0.236*$B$9)</f>
        <v>23.768851764705886</v>
      </c>
      <c r="C19" s="9" t="s">
        <v>25</v>
      </c>
    </row>
    <row r="20" spans="1:16" x14ac:dyDescent="0.25">
      <c r="A20" s="8" t="s">
        <v>29</v>
      </c>
      <c r="B20" s="10">
        <f>($B$14/Main!B19)*(Main!B21*$C$11+1.236*$C$8-0.236*$C$9)</f>
        <v>11.888385882352944</v>
      </c>
      <c r="C20" s="9" t="s">
        <v>25</v>
      </c>
    </row>
    <row r="21" spans="1:16" x14ac:dyDescent="0.25">
      <c r="A21" s="8"/>
      <c r="C21" s="9"/>
    </row>
    <row r="22" spans="1:16" x14ac:dyDescent="0.25">
      <c r="A22" s="8" t="s">
        <v>16</v>
      </c>
      <c r="B22" s="6">
        <f>IF(AND(Main!B19&gt;=4.2,Helper_calcs!B10=1.5),cout_calc!B18,IF(AND(Main!B19&gt;=4.2,Helper_calcs!B10&gt;=2.5),cout_calc!B17,IF(AND(Main!B19&lt;4.2,Helper_calcs!B10=1.5),cout_calc!B20,IF(AND(Main!B19&lt;4.2,Helper_calcs!B10&gt;=2.5),cout_calc!B19,x))))</f>
        <v>36.013411764705893</v>
      </c>
      <c r="C22" s="9" t="s">
        <v>25</v>
      </c>
    </row>
    <row r="23" spans="1:16" x14ac:dyDescent="0.25">
      <c r="A23" s="8"/>
      <c r="C23" s="9"/>
    </row>
    <row r="24" spans="1:16" x14ac:dyDescent="0.25">
      <c r="A24" s="8"/>
      <c r="C24" s="9"/>
    </row>
    <row r="26" spans="1:16" x14ac:dyDescent="0.25">
      <c r="A26" s="7"/>
    </row>
    <row r="27" spans="1:16" x14ac:dyDescent="0.25">
      <c r="A27" s="7"/>
    </row>
    <row r="30" spans="1:16" x14ac:dyDescent="0.25">
      <c r="E30" s="6"/>
      <c r="O30" s="6"/>
      <c r="P30" s="6"/>
    </row>
    <row r="31" spans="1:16" x14ac:dyDescent="0.25">
      <c r="E31" s="6"/>
      <c r="O31" s="6"/>
      <c r="P31" s="6"/>
    </row>
    <row r="32" spans="1:16" x14ac:dyDescent="0.25">
      <c r="E32" s="6"/>
      <c r="O32" s="6"/>
      <c r="P32" s="6"/>
    </row>
    <row r="33" spans="5:16" x14ac:dyDescent="0.25">
      <c r="E33" s="6"/>
      <c r="O33" s="6"/>
      <c r="P33" s="6"/>
    </row>
    <row r="34" spans="5:16" x14ac:dyDescent="0.25">
      <c r="E34" s="6"/>
      <c r="O34" s="6"/>
      <c r="P34" s="6"/>
    </row>
    <row r="35" spans="5:16" x14ac:dyDescent="0.25">
      <c r="E35" s="6"/>
      <c r="O35" s="6"/>
      <c r="P35" s="6"/>
    </row>
    <row r="36" spans="5:16" x14ac:dyDescent="0.25">
      <c r="E36" s="6"/>
      <c r="O36" s="6"/>
      <c r="P36" s="6"/>
    </row>
    <row r="37" spans="5:16" x14ac:dyDescent="0.25">
      <c r="E37" s="6"/>
      <c r="O37" s="6"/>
      <c r="P37" s="6"/>
    </row>
    <row r="38" spans="5:16" x14ac:dyDescent="0.25">
      <c r="E38" s="6"/>
      <c r="O38" s="6"/>
      <c r="P38" s="6"/>
    </row>
    <row r="39" spans="5:16" x14ac:dyDescent="0.25">
      <c r="E39" s="6"/>
      <c r="O39" s="6"/>
      <c r="P39" s="6"/>
    </row>
    <row r="40" spans="5:16" x14ac:dyDescent="0.25">
      <c r="E40" s="6"/>
      <c r="O40" s="6"/>
      <c r="P40" s="6"/>
    </row>
    <row r="41" spans="5:16" x14ac:dyDescent="0.25">
      <c r="E41" s="6"/>
      <c r="O41" s="6"/>
      <c r="P41" s="6"/>
    </row>
    <row r="42" spans="5:16" x14ac:dyDescent="0.25">
      <c r="E42" s="6"/>
      <c r="O42" s="6"/>
      <c r="P42" s="6"/>
    </row>
    <row r="43" spans="5:16" x14ac:dyDescent="0.25">
      <c r="E43" s="6"/>
      <c r="O43" s="6"/>
      <c r="P43" s="6"/>
    </row>
    <row r="44" spans="5:16" x14ac:dyDescent="0.25">
      <c r="E44" s="6"/>
      <c r="O44" s="6"/>
      <c r="P44" s="6"/>
    </row>
    <row r="45" spans="5:16" x14ac:dyDescent="0.25">
      <c r="E45" s="6"/>
      <c r="O45" s="6"/>
      <c r="P45" s="6"/>
    </row>
    <row r="46" spans="5:16" x14ac:dyDescent="0.25">
      <c r="E46" s="6"/>
      <c r="O46" s="6"/>
      <c r="P46" s="6"/>
    </row>
    <row r="47" spans="5:16" x14ac:dyDescent="0.25">
      <c r="E47" s="6"/>
      <c r="O47" s="6"/>
      <c r="P47" s="6"/>
    </row>
    <row r="48" spans="5:16" x14ac:dyDescent="0.25">
      <c r="E48" s="6"/>
      <c r="O48" s="6"/>
      <c r="P48" s="6"/>
    </row>
    <row r="52" spans="1:5" x14ac:dyDescent="0.25">
      <c r="A52" s="7"/>
    </row>
    <row r="54" spans="1:5" x14ac:dyDescent="0.25">
      <c r="E54" s="6"/>
    </row>
    <row r="55" spans="1:5" x14ac:dyDescent="0.25">
      <c r="E55" s="6"/>
    </row>
    <row r="56" spans="1:5" x14ac:dyDescent="0.25">
      <c r="E56" s="6"/>
    </row>
    <row r="57" spans="1:5" x14ac:dyDescent="0.25">
      <c r="E57" s="6"/>
    </row>
    <row r="58" spans="1:5" x14ac:dyDescent="0.25">
      <c r="E58" s="6"/>
    </row>
    <row r="59" spans="1:5" x14ac:dyDescent="0.25">
      <c r="E59" s="6"/>
    </row>
    <row r="60" spans="1:5" x14ac:dyDescent="0.25">
      <c r="E60" s="6"/>
    </row>
    <row r="61" spans="1:5" x14ac:dyDescent="0.25">
      <c r="E61" s="6"/>
    </row>
    <row r="62" spans="1:5" x14ac:dyDescent="0.25">
      <c r="E62" s="6"/>
    </row>
    <row r="63" spans="1:5" x14ac:dyDescent="0.25">
      <c r="E63" s="6"/>
    </row>
    <row r="64" spans="1:5" x14ac:dyDescent="0.25">
      <c r="E64" s="6"/>
    </row>
    <row r="65" spans="1:5" x14ac:dyDescent="0.25">
      <c r="E65" s="6"/>
    </row>
    <row r="66" spans="1:5" x14ac:dyDescent="0.25">
      <c r="E66" s="6"/>
    </row>
    <row r="67" spans="1:5" x14ac:dyDescent="0.25">
      <c r="E67" s="6"/>
    </row>
    <row r="68" spans="1:5" x14ac:dyDescent="0.25">
      <c r="E68" s="6"/>
    </row>
    <row r="69" spans="1:5" x14ac:dyDescent="0.25">
      <c r="E69" s="6"/>
    </row>
    <row r="70" spans="1:5" x14ac:dyDescent="0.25">
      <c r="E70" s="6"/>
    </row>
    <row r="71" spans="1:5" x14ac:dyDescent="0.25">
      <c r="E71" s="6"/>
    </row>
    <row r="72" spans="1:5" x14ac:dyDescent="0.25">
      <c r="E72" s="6"/>
    </row>
    <row r="80" spans="1:5" x14ac:dyDescent="0.25">
      <c r="A80" s="7"/>
    </row>
    <row r="81" spans="1:16" x14ac:dyDescent="0.25">
      <c r="A81" s="7"/>
    </row>
    <row r="84" spans="1:16" x14ac:dyDescent="0.25">
      <c r="E84" s="6"/>
      <c r="O84" s="6"/>
      <c r="P84" s="6"/>
    </row>
    <row r="85" spans="1:16" x14ac:dyDescent="0.25">
      <c r="E85" s="6"/>
      <c r="O85" s="6"/>
      <c r="P85" s="6"/>
    </row>
    <row r="86" spans="1:16" x14ac:dyDescent="0.25">
      <c r="E86" s="6"/>
      <c r="O86" s="6"/>
      <c r="P86" s="6"/>
    </row>
    <row r="87" spans="1:16" x14ac:dyDescent="0.25">
      <c r="E87" s="6"/>
      <c r="O87" s="6"/>
      <c r="P87" s="6"/>
    </row>
    <row r="88" spans="1:16" x14ac:dyDescent="0.25">
      <c r="E88" s="6"/>
      <c r="O88" s="6"/>
      <c r="P88" s="6"/>
    </row>
    <row r="89" spans="1:16" x14ac:dyDescent="0.25">
      <c r="E89" s="6"/>
      <c r="O89" s="6"/>
      <c r="P89" s="6"/>
    </row>
    <row r="90" spans="1:16" x14ac:dyDescent="0.25">
      <c r="E90" s="6"/>
      <c r="O90" s="6"/>
      <c r="P90" s="6"/>
    </row>
    <row r="91" spans="1:16" x14ac:dyDescent="0.25">
      <c r="E91" s="6"/>
      <c r="O91" s="6"/>
      <c r="P91" s="6"/>
    </row>
    <row r="92" spans="1:16" x14ac:dyDescent="0.25">
      <c r="E92" s="6"/>
      <c r="O92" s="6"/>
      <c r="P92" s="6"/>
    </row>
    <row r="93" spans="1:16" x14ac:dyDescent="0.25">
      <c r="E93" s="6"/>
      <c r="O93" s="6"/>
      <c r="P93" s="6"/>
    </row>
    <row r="94" spans="1:16" x14ac:dyDescent="0.25">
      <c r="E94" s="6"/>
      <c r="O94" s="6"/>
      <c r="P94" s="6"/>
    </row>
    <row r="95" spans="1:16" x14ac:dyDescent="0.25">
      <c r="E95" s="6"/>
      <c r="O95" s="6"/>
      <c r="P95" s="6"/>
    </row>
    <row r="96" spans="1:16" x14ac:dyDescent="0.25">
      <c r="E96" s="6"/>
      <c r="O96" s="6"/>
      <c r="P96" s="6"/>
    </row>
    <row r="97" spans="5:16" x14ac:dyDescent="0.25">
      <c r="E97" s="6"/>
      <c r="O97" s="6"/>
      <c r="P97" s="6"/>
    </row>
    <row r="98" spans="5:16" x14ac:dyDescent="0.25">
      <c r="E98" s="6"/>
      <c r="O98" s="6"/>
      <c r="P98" s="6"/>
    </row>
    <row r="99" spans="5:16" x14ac:dyDescent="0.25">
      <c r="E99" s="6"/>
      <c r="O99" s="6"/>
      <c r="P99" s="6"/>
    </row>
    <row r="100" spans="5:16" x14ac:dyDescent="0.25">
      <c r="E100" s="6"/>
      <c r="O100" s="6"/>
      <c r="P100" s="6"/>
    </row>
    <row r="101" spans="5:16" x14ac:dyDescent="0.25">
      <c r="E101" s="6"/>
      <c r="O101" s="6"/>
      <c r="P101" s="6"/>
    </row>
    <row r="102" spans="5:16" x14ac:dyDescent="0.25">
      <c r="E102" s="6"/>
      <c r="O102" s="6"/>
      <c r="P102" s="6"/>
    </row>
  </sheetData>
  <pageMargins left="0.7" right="0.7" top="0.75" bottom="0.75" header="0.3" footer="0.3"/>
  <pageSetup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Q116"/>
  <sheetViews>
    <sheetView zoomScaleNormal="100" workbookViewId="0">
      <selection activeCell="B55" activeCellId="12" sqref="B16 B18 B19 B20 B21 B23 B30 B37 B39 B40 C44 B50 B55"/>
    </sheetView>
  </sheetViews>
  <sheetFormatPr defaultColWidth="9" defaultRowHeight="15" x14ac:dyDescent="0.25"/>
  <cols>
    <col min="1" max="1" width="14.375" style="45" customWidth="1"/>
    <col min="2" max="2" width="14.5" style="45" customWidth="1"/>
    <col min="3" max="3" width="19.75" style="45" customWidth="1"/>
    <col min="4" max="4" width="14.75" style="45" customWidth="1"/>
    <col min="5" max="5" width="11.125" style="45" bestFit="1" customWidth="1"/>
    <col min="6" max="6" width="10.75" style="45" customWidth="1"/>
    <col min="7" max="7" width="2.875" style="45" customWidth="1"/>
    <col min="8" max="8" width="10.25" style="45" customWidth="1"/>
    <col min="9" max="9" width="12" style="45" customWidth="1"/>
    <col min="10" max="10" width="11" style="45" customWidth="1"/>
    <col min="11" max="11" width="10.25" style="45" customWidth="1"/>
    <col min="12" max="12" width="14.25" style="45" customWidth="1"/>
    <col min="13" max="13" width="1.5" style="45" customWidth="1"/>
    <col min="14" max="14" width="10.625" style="45" customWidth="1"/>
    <col min="15" max="15" width="11.5" style="45" customWidth="1"/>
    <col min="16" max="16" width="9" style="45"/>
    <col min="17" max="17" width="9.875" style="45" customWidth="1"/>
    <col min="18" max="16384" width="9" style="45"/>
  </cols>
  <sheetData>
    <row r="4" spans="1:1" ht="15.75" x14ac:dyDescent="0.25">
      <c r="A4" s="44">
        <v>43891</v>
      </c>
    </row>
    <row r="23" spans="1:3" ht="15.75" x14ac:dyDescent="0.25">
      <c r="A23" s="5" t="s">
        <v>153</v>
      </c>
      <c r="B23" s="46">
        <v>19000000</v>
      </c>
    </row>
    <row r="24" spans="1:3" ht="15.75" x14ac:dyDescent="0.25">
      <c r="A24" s="5" t="s">
        <v>154</v>
      </c>
      <c r="B24" s="46">
        <v>5000000</v>
      </c>
    </row>
    <row r="25" spans="1:3" ht="15.75" x14ac:dyDescent="0.25">
      <c r="A25" s="5" t="s">
        <v>155</v>
      </c>
      <c r="B25" s="46">
        <v>900000</v>
      </c>
    </row>
    <row r="26" spans="1:3" ht="15.75" x14ac:dyDescent="0.25">
      <c r="A26" s="5" t="s">
        <v>156</v>
      </c>
      <c r="B26" s="46">
        <v>1E-14</v>
      </c>
    </row>
    <row r="27" spans="1:3" x14ac:dyDescent="0.25">
      <c r="B27" s="47"/>
    </row>
    <row r="28" spans="1:3" ht="15.75" x14ac:dyDescent="0.25">
      <c r="A28" s="5" t="s">
        <v>64</v>
      </c>
      <c r="B28" s="48">
        <f>B23*B24*B25*B26^3</f>
        <v>8.5500000000000004E-23</v>
      </c>
      <c r="C28" s="49" t="s">
        <v>157</v>
      </c>
    </row>
    <row r="29" spans="1:3" ht="15.75" x14ac:dyDescent="0.25">
      <c r="A29" s="5" t="s">
        <v>65</v>
      </c>
      <c r="B29" s="48">
        <f>B26*B26*(2*B23*B24+2*B25*B23+B24*B25)</f>
        <v>2.2869999999999998E-14</v>
      </c>
      <c r="C29" s="49" t="s">
        <v>157</v>
      </c>
    </row>
    <row r="30" spans="1:3" ht="15.75" x14ac:dyDescent="0.25">
      <c r="A30" s="5" t="s">
        <v>66</v>
      </c>
      <c r="B30" s="48">
        <f>3*B23*B26+2*B24*B26+B25*B26</f>
        <v>6.7900000000000008E-7</v>
      </c>
      <c r="C30" s="49" t="s">
        <v>157</v>
      </c>
    </row>
    <row r="31" spans="1:3" x14ac:dyDescent="0.25">
      <c r="B31" s="47"/>
    </row>
    <row r="32" spans="1:3" ht="15.75" x14ac:dyDescent="0.25">
      <c r="A32" s="50" t="s">
        <v>158</v>
      </c>
      <c r="B32" s="51">
        <f>SQRT(2*B33-2*B29+B30*B30)</f>
        <v>6.7501548721570653E-7</v>
      </c>
      <c r="C32" s="49" t="s">
        <v>159</v>
      </c>
    </row>
    <row r="33" spans="1:4" ht="15.75" x14ac:dyDescent="0.25">
      <c r="A33" s="50" t="s">
        <v>160</v>
      </c>
      <c r="B33" s="51">
        <f>SQRT(B29*B29-2*B28*B30)</f>
        <v>2.0172453990528766E-14</v>
      </c>
      <c r="C33" s="49" t="s">
        <v>159</v>
      </c>
    </row>
    <row r="34" spans="1:4" ht="15.75" x14ac:dyDescent="0.25">
      <c r="A34" s="50"/>
      <c r="B34" s="47"/>
    </row>
    <row r="35" spans="1:4" ht="15.75" x14ac:dyDescent="0.25">
      <c r="A35" s="50" t="s">
        <v>92</v>
      </c>
      <c r="B35" s="51">
        <f>B32</f>
        <v>6.7501548721570653E-7</v>
      </c>
      <c r="C35" s="49" t="s">
        <v>161</v>
      </c>
    </row>
    <row r="36" spans="1:4" ht="15.75" x14ac:dyDescent="0.25">
      <c r="A36" s="50"/>
    </row>
    <row r="37" spans="1:4" ht="15.75" x14ac:dyDescent="0.25">
      <c r="A37" s="50"/>
    </row>
    <row r="38" spans="1:4" ht="15.75" x14ac:dyDescent="0.25">
      <c r="A38" s="50" t="s">
        <v>162</v>
      </c>
    </row>
    <row r="39" spans="1:4" ht="15.75" x14ac:dyDescent="0.25">
      <c r="A39" s="50" t="s">
        <v>163</v>
      </c>
    </row>
    <row r="40" spans="1:4" ht="15.75" x14ac:dyDescent="0.25">
      <c r="A40" s="50"/>
    </row>
    <row r="41" spans="1:4" ht="15.75" x14ac:dyDescent="0.25">
      <c r="A41" s="52" t="s">
        <v>164</v>
      </c>
      <c r="B41" s="53" t="s">
        <v>165</v>
      </c>
      <c r="C41" s="53" t="s">
        <v>166</v>
      </c>
      <c r="D41" s="53" t="s">
        <v>167</v>
      </c>
    </row>
    <row r="42" spans="1:4" x14ac:dyDescent="0.25">
      <c r="A42" s="54">
        <v>100000</v>
      </c>
      <c r="B42" s="55">
        <f>-(180/3.14)*ATAN2(1-(6.28*A42)^2*B29,6.28*A42*B30-(6.28*A42)^3*B28)</f>
        <v>-23.292649264242261</v>
      </c>
      <c r="C42" s="55">
        <f>-(180/3.14)*ATAN2(1-(6.28*A42)^2*B33,6.28*A42*B32)</f>
        <v>-23.149203280784189</v>
      </c>
      <c r="D42" s="55">
        <f>-(180/3.14)*ATAN(6.28*A42*B35)</f>
        <v>-22.984212222043233</v>
      </c>
    </row>
    <row r="44" spans="1:4" ht="15.75" x14ac:dyDescent="0.25">
      <c r="A44" s="56" t="s">
        <v>168</v>
      </c>
    </row>
    <row r="50" spans="1:17" x14ac:dyDescent="0.25">
      <c r="A50" s="45" t="s">
        <v>169</v>
      </c>
      <c r="B50" s="45" t="s">
        <v>170</v>
      </c>
      <c r="C50" s="45" t="s">
        <v>171</v>
      </c>
      <c r="D50" s="45" t="s">
        <v>172</v>
      </c>
      <c r="E50" s="57" t="s">
        <v>173</v>
      </c>
      <c r="F50" s="57" t="s">
        <v>174</v>
      </c>
      <c r="H50" s="45" t="s">
        <v>75</v>
      </c>
      <c r="I50" s="45" t="s">
        <v>175</v>
      </c>
      <c r="J50" s="57" t="s">
        <v>176</v>
      </c>
      <c r="K50" s="45" t="s">
        <v>177</v>
      </c>
      <c r="L50" s="57" t="s">
        <v>178</v>
      </c>
      <c r="N50" s="58" t="s">
        <v>179</v>
      </c>
      <c r="O50" s="58" t="s">
        <v>180</v>
      </c>
      <c r="P50" s="57" t="s">
        <v>181</v>
      </c>
      <c r="Q50" s="57" t="s">
        <v>182</v>
      </c>
    </row>
    <row r="51" spans="1:17" x14ac:dyDescent="0.25">
      <c r="A51" s="59">
        <v>0.1</v>
      </c>
      <c r="B51" s="45">
        <f>6.28*A51</f>
        <v>0.62800000000000011</v>
      </c>
      <c r="C51" s="60">
        <f>1-B51*B51*$B$33</f>
        <v>0.99999999999999201</v>
      </c>
      <c r="D51" s="60">
        <f>B51*$B$32</f>
        <v>4.2390972597146378E-7</v>
      </c>
      <c r="E51" s="45">
        <f>20*LOG(1/(SQRT(C51^2+D51^2)))</f>
        <v>-7.0974501538324832E-13</v>
      </c>
      <c r="F51" s="60">
        <f>-(180/3.1415)*ATAN2(C51,D51)</f>
        <v>-2.4288954536004937E-5</v>
      </c>
      <c r="H51" s="47">
        <f>1-$B$29*B51*B51</f>
        <v>0.99999999999999101</v>
      </c>
      <c r="I51" s="47">
        <f>B51*$B$30-B51*B51*B51*$B$28</f>
        <v>4.2641200000000013E-7</v>
      </c>
      <c r="J51" s="45">
        <f>20*LOG(1/(SQRT(H51^2+I51^2)))</f>
        <v>-7.1167367031635508E-13</v>
      </c>
      <c r="K51" s="45">
        <f>-(180/3.1415)*ATAN2(H51,I51)</f>
        <v>-2.443232850548975E-5</v>
      </c>
      <c r="L51" s="45">
        <f>IF(K51&gt;0,K51-360,K51)</f>
        <v>-2.443232850548975E-5</v>
      </c>
      <c r="N51" s="60">
        <v>1</v>
      </c>
      <c r="O51" s="60">
        <f>$B$35*B51</f>
        <v>4.2390972597146378E-7</v>
      </c>
      <c r="P51" s="60">
        <f>20*LOG(1/(SQRT(N51^2+O51^2)))</f>
        <v>-7.7917659297509087E-13</v>
      </c>
      <c r="Q51" s="60">
        <f>-(180/3.1415)*ATAN2(N51,O51)</f>
        <v>-2.4288954536004741E-5</v>
      </c>
    </row>
    <row r="52" spans="1:17" x14ac:dyDescent="0.25">
      <c r="A52" s="59">
        <f>0.1+A51</f>
        <v>0.2</v>
      </c>
      <c r="B52" s="45">
        <f t="shared" ref="B52:B115" si="0">6.28*A52</f>
        <v>1.2560000000000002</v>
      </c>
      <c r="C52" s="60">
        <f t="shared" ref="C52:C115" si="1">1-B52*B52*$B$33</f>
        <v>0.99999999999996814</v>
      </c>
      <c r="D52" s="60">
        <f t="shared" ref="D52:D115" si="2">B52*$B$32</f>
        <v>8.4781945194292756E-7</v>
      </c>
      <c r="E52" s="45">
        <f t="shared" ref="E52:E115" si="3">20*LOG(1/(SQRT(C52^2+D52^2)))</f>
        <v>-2.844766026332663E-12</v>
      </c>
      <c r="F52" s="60">
        <f t="shared" ref="F52:F115" si="4">-(180/3.1415)*ATAN2(C52,D52)</f>
        <v>-4.8577909072002299E-5</v>
      </c>
      <c r="H52" s="47">
        <f t="shared" ref="H52:H115" si="5">1-$B$29*B52*B52</f>
        <v>0.99999999999996392</v>
      </c>
      <c r="I52" s="47">
        <f t="shared" ref="I52:I115" si="6">B52*$B$30-B52*B52*B52*$B$28</f>
        <v>8.5282400000000004E-7</v>
      </c>
      <c r="J52" s="45">
        <f t="shared" ref="J52:J115" si="7">20*LOG(1/(SQRT(H52^2+I52^2)))</f>
        <v>-2.8466946812657701E-12</v>
      </c>
      <c r="K52" s="45">
        <f t="shared" ref="K52:K115" si="8">-(180/3.1415)*ATAN2(H52,I52)</f>
        <v>-4.8864657010971932E-5</v>
      </c>
      <c r="L52" s="45">
        <f t="shared" ref="L52:L115" si="9">IF(K52&gt;0,K52-360,K52)</f>
        <v>-4.8864657010971932E-5</v>
      </c>
      <c r="N52" s="60">
        <v>1</v>
      </c>
      <c r="O52" s="60">
        <f t="shared" ref="O52:O115" si="10">$B$35*B52</f>
        <v>8.4781945194292756E-7</v>
      </c>
      <c r="P52" s="60">
        <f t="shared" ref="P52:P115" si="11">20*LOG(1/(SQRT(N52^2+O52^2)))</f>
        <v>-3.1205636817669977E-12</v>
      </c>
      <c r="Q52" s="60">
        <f t="shared" ref="Q52:Q115" si="12">-(180/3.1415)*ATAN2(N52,O52)</f>
        <v>-4.8577909072000754E-5</v>
      </c>
    </row>
    <row r="53" spans="1:17" x14ac:dyDescent="0.25">
      <c r="A53" s="59">
        <f t="shared" ref="A53:A60" si="13">0.1+A52</f>
        <v>0.30000000000000004</v>
      </c>
      <c r="B53" s="45">
        <f t="shared" si="0"/>
        <v>1.8840000000000003</v>
      </c>
      <c r="C53" s="60">
        <f t="shared" si="1"/>
        <v>0.99999999999992839</v>
      </c>
      <c r="D53" s="60">
        <f t="shared" si="2"/>
        <v>1.2717291779143912E-6</v>
      </c>
      <c r="E53" s="45">
        <f t="shared" si="3"/>
        <v>-6.4031343779161858E-12</v>
      </c>
      <c r="F53" s="60">
        <f t="shared" si="4"/>
        <v>-7.2866863607984512E-5</v>
      </c>
      <c r="H53" s="47">
        <f t="shared" si="5"/>
        <v>0.99999999999991884</v>
      </c>
      <c r="I53" s="47">
        <f t="shared" si="6"/>
        <v>1.2792359999999997E-6</v>
      </c>
      <c r="J53" s="45">
        <f t="shared" si="7"/>
        <v>-6.4031343779161858E-12</v>
      </c>
      <c r="K53" s="45">
        <f t="shared" si="8"/>
        <v>-7.3296985516438961E-5</v>
      </c>
      <c r="L53" s="45">
        <f t="shared" si="9"/>
        <v>-7.3296985516438961E-5</v>
      </c>
      <c r="N53" s="60">
        <v>1</v>
      </c>
      <c r="O53" s="60">
        <f t="shared" si="10"/>
        <v>1.2717291779143912E-6</v>
      </c>
      <c r="P53" s="60">
        <f t="shared" si="11"/>
        <v>-7.024161266376984E-12</v>
      </c>
      <c r="Q53" s="60">
        <f t="shared" si="12"/>
        <v>-7.2866863607979308E-5</v>
      </c>
    </row>
    <row r="54" spans="1:17" x14ac:dyDescent="0.25">
      <c r="A54" s="59">
        <f t="shared" si="13"/>
        <v>0.4</v>
      </c>
      <c r="B54" s="45">
        <f t="shared" si="0"/>
        <v>2.5120000000000005</v>
      </c>
      <c r="C54" s="60">
        <f t="shared" si="1"/>
        <v>0.99999999999987266</v>
      </c>
      <c r="D54" s="60">
        <f t="shared" si="2"/>
        <v>1.6956389038858551E-6</v>
      </c>
      <c r="E54" s="45">
        <f t="shared" si="3"/>
        <v>-1.138099276026935E-11</v>
      </c>
      <c r="F54" s="60">
        <f t="shared" si="4"/>
        <v>-9.7155818143944059E-5</v>
      </c>
      <c r="H54" s="47">
        <f t="shared" si="5"/>
        <v>0.99999999999985567</v>
      </c>
      <c r="I54" s="47">
        <f t="shared" si="6"/>
        <v>1.7056479999999992E-6</v>
      </c>
      <c r="J54" s="45">
        <f t="shared" si="7"/>
        <v>-1.138099276026935E-11</v>
      </c>
      <c r="K54" s="45">
        <f t="shared" si="8"/>
        <v>-9.7729314021883311E-5</v>
      </c>
      <c r="L54" s="45">
        <f t="shared" si="9"/>
        <v>-9.7729314021883311E-5</v>
      </c>
      <c r="N54" s="60">
        <v>1</v>
      </c>
      <c r="O54" s="60">
        <f t="shared" si="10"/>
        <v>1.6956389038858551E-6</v>
      </c>
      <c r="P54" s="60">
        <f t="shared" si="11"/>
        <v>-1.2486112036940936E-11</v>
      </c>
      <c r="Q54" s="60">
        <f t="shared" si="12"/>
        <v>-9.7155818143931686E-5</v>
      </c>
    </row>
    <row r="55" spans="1:17" x14ac:dyDescent="0.25">
      <c r="A55" s="59">
        <f t="shared" si="13"/>
        <v>0.5</v>
      </c>
      <c r="B55" s="45">
        <f t="shared" si="0"/>
        <v>3.14</v>
      </c>
      <c r="C55" s="60">
        <f t="shared" si="1"/>
        <v>0.99999999999980116</v>
      </c>
      <c r="D55" s="60">
        <f t="shared" si="2"/>
        <v>2.1195486298573188E-6</v>
      </c>
      <c r="E55" s="45">
        <f t="shared" si="3"/>
        <v>-1.7782198483260816E-11</v>
      </c>
      <c r="F55" s="60">
        <f t="shared" si="4"/>
        <v>-1.2144477267987328E-4</v>
      </c>
      <c r="H55" s="47">
        <f t="shared" si="5"/>
        <v>0.99999999999977451</v>
      </c>
      <c r="I55" s="47">
        <f t="shared" si="6"/>
        <v>2.1320599999999979E-6</v>
      </c>
      <c r="J55" s="45">
        <f t="shared" si="7"/>
        <v>-1.7782198483260816E-11</v>
      </c>
      <c r="K55" s="45">
        <f t="shared" si="8"/>
        <v>-1.2216164252729734E-4</v>
      </c>
      <c r="L55" s="45">
        <f t="shared" si="9"/>
        <v>-1.2216164252729734E-4</v>
      </c>
      <c r="N55" s="60">
        <v>1</v>
      </c>
      <c r="O55" s="60">
        <f t="shared" si="10"/>
        <v>2.1195486298573188E-6</v>
      </c>
      <c r="P55" s="60">
        <f t="shared" si="11"/>
        <v>-1.9510273303328018E-11</v>
      </c>
      <c r="Q55" s="60">
        <f t="shared" si="12"/>
        <v>-1.2144477267984914E-4</v>
      </c>
    </row>
    <row r="56" spans="1:17" x14ac:dyDescent="0.25">
      <c r="A56" s="59">
        <f t="shared" si="13"/>
        <v>0.6</v>
      </c>
      <c r="B56" s="45">
        <f t="shared" si="0"/>
        <v>3.7679999999999998</v>
      </c>
      <c r="C56" s="60">
        <f t="shared" si="1"/>
        <v>0.99999999999971356</v>
      </c>
      <c r="D56" s="60">
        <f t="shared" si="2"/>
        <v>2.543458355828782E-6</v>
      </c>
      <c r="E56" s="45">
        <f t="shared" si="3"/>
        <v>-2.5608680201826845E-11</v>
      </c>
      <c r="F56" s="60">
        <f t="shared" si="4"/>
        <v>-1.4573372721576465E-4</v>
      </c>
      <c r="H56" s="47">
        <f t="shared" si="5"/>
        <v>0.99999999999967526</v>
      </c>
      <c r="I56" s="47">
        <f t="shared" si="6"/>
        <v>2.5584719999999956E-6</v>
      </c>
      <c r="J56" s="45">
        <f t="shared" si="7"/>
        <v>-2.5608680201826845E-11</v>
      </c>
      <c r="K56" s="45">
        <f t="shared" si="8"/>
        <v>-1.4659397103267352E-4</v>
      </c>
      <c r="L56" s="45">
        <f t="shared" si="9"/>
        <v>-1.4659397103267352E-4</v>
      </c>
      <c r="N56" s="60">
        <v>1</v>
      </c>
      <c r="O56" s="60">
        <f t="shared" si="10"/>
        <v>2.543458355828782E-6</v>
      </c>
      <c r="P56" s="60">
        <f t="shared" si="11"/>
        <v>-2.8096645065542018E-11</v>
      </c>
      <c r="Q56" s="60">
        <f t="shared" si="12"/>
        <v>-1.4573372721572291E-4</v>
      </c>
    </row>
    <row r="57" spans="1:17" x14ac:dyDescent="0.25">
      <c r="A57" s="59">
        <f t="shared" si="13"/>
        <v>0.7</v>
      </c>
      <c r="B57" s="45">
        <f t="shared" si="0"/>
        <v>4.3959999999999999</v>
      </c>
      <c r="C57" s="60">
        <f t="shared" si="1"/>
        <v>0.9999999999996102</v>
      </c>
      <c r="D57" s="60">
        <f t="shared" si="2"/>
        <v>2.9673680818002457E-6</v>
      </c>
      <c r="E57" s="45">
        <f t="shared" si="3"/>
        <v>-3.485465195117194E-11</v>
      </c>
      <c r="F57" s="60">
        <f t="shared" si="4"/>
        <v>-1.7002268175161057E-4</v>
      </c>
      <c r="H57" s="47">
        <f t="shared" si="5"/>
        <v>0.99999999999955802</v>
      </c>
      <c r="I57" s="47">
        <f t="shared" si="6"/>
        <v>2.9848839999999932E-6</v>
      </c>
      <c r="J57" s="45">
        <f t="shared" si="7"/>
        <v>-3.485465195117194E-11</v>
      </c>
      <c r="K57" s="45">
        <f t="shared" si="8"/>
        <v>-1.710262995380043E-4</v>
      </c>
      <c r="L57" s="45">
        <f t="shared" si="9"/>
        <v>-1.710262995380043E-4</v>
      </c>
      <c r="N57" s="60">
        <v>1</v>
      </c>
      <c r="O57" s="60">
        <f t="shared" si="10"/>
        <v>2.9673680818002457E-6</v>
      </c>
      <c r="P57" s="60">
        <f t="shared" si="11"/>
        <v>-3.8241370013721334E-11</v>
      </c>
      <c r="Q57" s="60">
        <f t="shared" si="12"/>
        <v>-1.700226817515443E-4</v>
      </c>
    </row>
    <row r="58" spans="1:17" x14ac:dyDescent="0.25">
      <c r="A58" s="59">
        <f t="shared" si="13"/>
        <v>0.79999999999999993</v>
      </c>
      <c r="B58" s="45">
        <f t="shared" si="0"/>
        <v>5.024</v>
      </c>
      <c r="C58" s="60">
        <f t="shared" si="1"/>
        <v>0.99999999999949085</v>
      </c>
      <c r="D58" s="60">
        <f t="shared" si="2"/>
        <v>3.3912778077717098E-6</v>
      </c>
      <c r="E58" s="45">
        <f t="shared" si="3"/>
        <v>-4.5523971041166879E-11</v>
      </c>
      <c r="F58" s="60">
        <f t="shared" si="4"/>
        <v>-1.9431163628740359E-4</v>
      </c>
      <c r="H58" s="47">
        <f t="shared" si="5"/>
        <v>0.9999999999994228</v>
      </c>
      <c r="I58" s="47">
        <f t="shared" si="6"/>
        <v>3.4112959999999896E-6</v>
      </c>
      <c r="J58" s="45">
        <f t="shared" si="7"/>
        <v>-4.5523971041166879E-11</v>
      </c>
      <c r="K58" s="45">
        <f t="shared" si="8"/>
        <v>-1.9545862804328206E-4</v>
      </c>
      <c r="L58" s="45">
        <f t="shared" si="9"/>
        <v>-1.9545862804328206E-4</v>
      </c>
      <c r="N58" s="60">
        <v>1</v>
      </c>
      <c r="O58" s="60">
        <f t="shared" si="10"/>
        <v>3.3912778077717098E-6</v>
      </c>
      <c r="P58" s="60">
        <f t="shared" si="11"/>
        <v>-4.9948305457737675E-11</v>
      </c>
      <c r="Q58" s="60">
        <f t="shared" si="12"/>
        <v>-1.9431163628730465E-4</v>
      </c>
    </row>
    <row r="59" spans="1:17" x14ac:dyDescent="0.25">
      <c r="A59" s="59">
        <f t="shared" si="13"/>
        <v>0.89999999999999991</v>
      </c>
      <c r="B59" s="45">
        <f t="shared" si="0"/>
        <v>5.6519999999999992</v>
      </c>
      <c r="C59" s="60">
        <f t="shared" si="1"/>
        <v>0.99999999999935563</v>
      </c>
      <c r="D59" s="60">
        <f t="shared" si="2"/>
        <v>3.8151875337431731E-6</v>
      </c>
      <c r="E59" s="45">
        <f t="shared" si="3"/>
        <v>-5.7616637471816895E-11</v>
      </c>
      <c r="F59" s="60">
        <f t="shared" si="4"/>
        <v>-2.1860059082313594E-4</v>
      </c>
      <c r="H59" s="47">
        <f t="shared" si="5"/>
        <v>0.99999999999926936</v>
      </c>
      <c r="I59" s="47">
        <f t="shared" si="6"/>
        <v>3.8377079999999847E-6</v>
      </c>
      <c r="J59" s="45">
        <f t="shared" si="7"/>
        <v>-5.7616637471816895E-11</v>
      </c>
      <c r="K59" s="45">
        <f t="shared" si="8"/>
        <v>-2.198909565484993E-4</v>
      </c>
      <c r="L59" s="45">
        <f t="shared" si="9"/>
        <v>-2.198909565484993E-4</v>
      </c>
      <c r="N59" s="60">
        <v>1</v>
      </c>
      <c r="O59" s="60">
        <f t="shared" si="10"/>
        <v>3.8151875337431731E-6</v>
      </c>
      <c r="P59" s="60">
        <f t="shared" si="11"/>
        <v>-6.32135940877311E-11</v>
      </c>
      <c r="Q59" s="60">
        <f t="shared" si="12"/>
        <v>-2.186005908229951E-4</v>
      </c>
    </row>
    <row r="60" spans="1:17" x14ac:dyDescent="0.25">
      <c r="A60" s="59">
        <f t="shared" si="13"/>
        <v>0.99999999999999989</v>
      </c>
      <c r="B60" s="45">
        <f t="shared" si="0"/>
        <v>6.2799999999999994</v>
      </c>
      <c r="C60" s="60">
        <f t="shared" si="1"/>
        <v>0.99999999999920441</v>
      </c>
      <c r="D60" s="60">
        <f t="shared" si="2"/>
        <v>4.2390972597146367E-6</v>
      </c>
      <c r="E60" s="45">
        <f t="shared" si="3"/>
        <v>-7.113265124312794E-11</v>
      </c>
      <c r="F60" s="60">
        <f t="shared" si="4"/>
        <v>-2.4288954535880026E-4</v>
      </c>
      <c r="H60" s="47">
        <f t="shared" si="5"/>
        <v>0.99999999999909805</v>
      </c>
      <c r="I60" s="47">
        <f t="shared" si="6"/>
        <v>4.2641199999999789E-6</v>
      </c>
      <c r="J60" s="45">
        <f t="shared" si="7"/>
        <v>-7.113265124312794E-11</v>
      </c>
      <c r="K60" s="45">
        <f t="shared" si="8"/>
        <v>-2.443232850536484E-4</v>
      </c>
      <c r="L60" s="45">
        <f t="shared" si="9"/>
        <v>-2.443232850536484E-4</v>
      </c>
      <c r="N60" s="60">
        <v>1</v>
      </c>
      <c r="O60" s="60">
        <f t="shared" si="10"/>
        <v>4.2390972597146367E-6</v>
      </c>
      <c r="P60" s="60">
        <f t="shared" si="11"/>
        <v>-7.804109321357501E-11</v>
      </c>
      <c r="Q60" s="60">
        <f t="shared" si="12"/>
        <v>-2.42889545358607E-4</v>
      </c>
    </row>
    <row r="61" spans="1:17" x14ac:dyDescent="0.25">
      <c r="A61" s="59">
        <f>1+A60</f>
        <v>2</v>
      </c>
      <c r="B61" s="45">
        <f t="shared" si="0"/>
        <v>12.56</v>
      </c>
      <c r="C61" s="60">
        <f t="shared" si="1"/>
        <v>0.99999999999681777</v>
      </c>
      <c r="D61" s="60">
        <f t="shared" si="2"/>
        <v>8.4781945194292751E-6</v>
      </c>
      <c r="E61" s="45">
        <f t="shared" si="3"/>
        <v>-2.8453060497600696E-10</v>
      </c>
      <c r="F61" s="60">
        <f t="shared" si="4"/>
        <v>-4.8577909071003056E-4</v>
      </c>
      <c r="H61" s="47">
        <f t="shared" si="5"/>
        <v>0.99999999999639222</v>
      </c>
      <c r="I61" s="47">
        <f t="shared" si="6"/>
        <v>8.5282399999998325E-6</v>
      </c>
      <c r="J61" s="45">
        <f t="shared" si="7"/>
        <v>-2.8453060497600696E-10</v>
      </c>
      <c r="K61" s="45">
        <f t="shared" si="8"/>
        <v>-4.8864657009972678E-4</v>
      </c>
      <c r="L61" s="45">
        <f t="shared" si="9"/>
        <v>-4.8864657009972678E-4</v>
      </c>
      <c r="N61" s="60">
        <v>1</v>
      </c>
      <c r="O61" s="60">
        <f t="shared" si="10"/>
        <v>8.4781945194292751E-6</v>
      </c>
      <c r="P61" s="60">
        <f t="shared" si="11"/>
        <v>-3.1217015882330669E-10</v>
      </c>
      <c r="Q61" s="60">
        <f t="shared" si="12"/>
        <v>-4.8577909070848471E-4</v>
      </c>
    </row>
    <row r="62" spans="1:17" x14ac:dyDescent="0.25">
      <c r="A62" s="59">
        <f t="shared" ref="A62:A69" si="14">1+A61</f>
        <v>3</v>
      </c>
      <c r="B62" s="45">
        <f t="shared" si="0"/>
        <v>18.84</v>
      </c>
      <c r="C62" s="60">
        <f t="shared" si="1"/>
        <v>0.99999999999283984</v>
      </c>
      <c r="D62" s="60">
        <f t="shared" si="2"/>
        <v>1.271729177914391E-5</v>
      </c>
      <c r="E62" s="45">
        <f t="shared" si="3"/>
        <v>-6.4019000389925635E-10</v>
      </c>
      <c r="F62" s="60">
        <f t="shared" si="4"/>
        <v>-7.2866863604612074E-4</v>
      </c>
      <c r="H62" s="47">
        <f t="shared" si="5"/>
        <v>0.99999999999188238</v>
      </c>
      <c r="I62" s="47">
        <f t="shared" si="6"/>
        <v>1.2792359999999429E-5</v>
      </c>
      <c r="J62" s="45">
        <f t="shared" si="7"/>
        <v>-6.4019000389925635E-10</v>
      </c>
      <c r="K62" s="45">
        <f t="shared" si="8"/>
        <v>-7.3296985513066526E-4</v>
      </c>
      <c r="L62" s="45">
        <f t="shared" si="9"/>
        <v>-7.3296985513066526E-4</v>
      </c>
      <c r="N62" s="60">
        <v>1</v>
      </c>
      <c r="O62" s="60">
        <f t="shared" si="10"/>
        <v>1.271729177914391E-5</v>
      </c>
      <c r="P62" s="60">
        <f t="shared" si="11"/>
        <v>-7.023814108770173E-10</v>
      </c>
      <c r="Q62" s="60">
        <f t="shared" si="12"/>
        <v>-7.2866863604090335E-4</v>
      </c>
    </row>
    <row r="63" spans="1:17" x14ac:dyDescent="0.25">
      <c r="A63" s="59">
        <f t="shared" si="14"/>
        <v>4</v>
      </c>
      <c r="B63" s="45">
        <f t="shared" si="0"/>
        <v>25.12</v>
      </c>
      <c r="C63" s="60">
        <f t="shared" si="1"/>
        <v>0.99999999998727085</v>
      </c>
      <c r="D63" s="60">
        <f t="shared" si="2"/>
        <v>1.695638903885855E-5</v>
      </c>
      <c r="E63" s="45">
        <f t="shared" si="3"/>
        <v>-1.138114705340218E-9</v>
      </c>
      <c r="F63" s="60">
        <f t="shared" si="4"/>
        <v>-9.7155818135950106E-4</v>
      </c>
      <c r="H63" s="47">
        <f t="shared" si="5"/>
        <v>0.99999999998556865</v>
      </c>
      <c r="I63" s="47">
        <f t="shared" si="6"/>
        <v>1.7056479999998649E-5</v>
      </c>
      <c r="J63" s="45">
        <f t="shared" si="7"/>
        <v>-1.138114705340218E-9</v>
      </c>
      <c r="K63" s="45">
        <f t="shared" si="8"/>
        <v>-9.7729314013889372E-4</v>
      </c>
      <c r="L63" s="45">
        <f t="shared" si="9"/>
        <v>-9.7729314013889372E-4</v>
      </c>
      <c r="N63" s="60">
        <v>1</v>
      </c>
      <c r="O63" s="60">
        <f t="shared" si="10"/>
        <v>1.695638903885855E-5</v>
      </c>
      <c r="P63" s="60">
        <f t="shared" si="11"/>
        <v>-1.2486806353605429E-9</v>
      </c>
      <c r="Q63" s="60">
        <f t="shared" si="12"/>
        <v>-9.7155818134713389E-4</v>
      </c>
    </row>
    <row r="64" spans="1:17" x14ac:dyDescent="0.25">
      <c r="A64" s="59">
        <f t="shared" si="14"/>
        <v>5</v>
      </c>
      <c r="B64" s="45">
        <f t="shared" si="0"/>
        <v>31.400000000000002</v>
      </c>
      <c r="C64" s="60">
        <f t="shared" si="1"/>
        <v>0.9999999999801108</v>
      </c>
      <c r="D64" s="60">
        <f t="shared" si="2"/>
        <v>2.1195486298573187E-5</v>
      </c>
      <c r="E64" s="45">
        <f t="shared" si="3"/>
        <v>-1.7783066379782922E-9</v>
      </c>
      <c r="F64" s="60">
        <f t="shared" si="4"/>
        <v>-1.2144477266426011E-3</v>
      </c>
      <c r="H64" s="47">
        <f t="shared" si="5"/>
        <v>0.99999999997745115</v>
      </c>
      <c r="I64" s="47">
        <f t="shared" si="6"/>
        <v>2.1320599999997358E-5</v>
      </c>
      <c r="J64" s="45">
        <f t="shared" si="7"/>
        <v>-1.7783066379782922E-9</v>
      </c>
      <c r="K64" s="45">
        <f t="shared" si="8"/>
        <v>-1.2216164251168424E-3</v>
      </c>
      <c r="L64" s="45">
        <f t="shared" si="9"/>
        <v>-1.2216164251168424E-3</v>
      </c>
      <c r="N64" s="60">
        <v>1</v>
      </c>
      <c r="O64" s="60">
        <f t="shared" si="10"/>
        <v>2.1195486298573187E-5</v>
      </c>
      <c r="P64" s="60">
        <f t="shared" si="11"/>
        <v>-1.9510620463385346E-9</v>
      </c>
      <c r="Q64" s="60">
        <f t="shared" si="12"/>
        <v>-1.2144477266184468E-3</v>
      </c>
    </row>
    <row r="65" spans="1:17" x14ac:dyDescent="0.25">
      <c r="A65" s="59">
        <f t="shared" si="14"/>
        <v>6</v>
      </c>
      <c r="B65" s="45">
        <f t="shared" si="0"/>
        <v>37.68</v>
      </c>
      <c r="C65" s="60">
        <f t="shared" si="1"/>
        <v>0.99999999997135947</v>
      </c>
      <c r="D65" s="60">
        <f t="shared" si="2"/>
        <v>2.543458355828782E-5</v>
      </c>
      <c r="E65" s="45">
        <f t="shared" si="3"/>
        <v>-2.560760015880135E-9</v>
      </c>
      <c r="F65" s="60">
        <f t="shared" si="4"/>
        <v>-1.4573372718878512E-3</v>
      </c>
      <c r="H65" s="47">
        <f t="shared" si="5"/>
        <v>0.99999999996752953</v>
      </c>
      <c r="I65" s="47">
        <f t="shared" si="6"/>
        <v>2.558471999999543E-5</v>
      </c>
      <c r="J65" s="45">
        <f t="shared" si="7"/>
        <v>-2.560760015880135E-9</v>
      </c>
      <c r="K65" s="45">
        <f t="shared" si="8"/>
        <v>-1.4659397100569411E-3</v>
      </c>
      <c r="L65" s="45">
        <f t="shared" si="9"/>
        <v>-1.4659397100569411E-3</v>
      </c>
      <c r="N65" s="60">
        <v>1</v>
      </c>
      <c r="O65" s="60">
        <f t="shared" si="10"/>
        <v>2.543458355828782E-5</v>
      </c>
      <c r="P65" s="60">
        <f t="shared" si="11"/>
        <v>-2.8095295011587239E-9</v>
      </c>
      <c r="Q65" s="60">
        <f t="shared" si="12"/>
        <v>-1.4573372718461122E-3</v>
      </c>
    </row>
    <row r="66" spans="1:17" x14ac:dyDescent="0.25">
      <c r="A66" s="59">
        <f t="shared" si="14"/>
        <v>7</v>
      </c>
      <c r="B66" s="45">
        <f t="shared" si="0"/>
        <v>43.96</v>
      </c>
      <c r="C66" s="60">
        <f t="shared" si="1"/>
        <v>0.99999999996101707</v>
      </c>
      <c r="D66" s="60">
        <f t="shared" si="2"/>
        <v>2.967368081800246E-5</v>
      </c>
      <c r="E66" s="45">
        <f t="shared" si="3"/>
        <v>-3.4854806250489939E-9</v>
      </c>
      <c r="F66" s="60">
        <f t="shared" si="4"/>
        <v>-1.7002268170876814E-3</v>
      </c>
      <c r="H66" s="47">
        <f t="shared" si="5"/>
        <v>0.99999999995580413</v>
      </c>
      <c r="I66" s="47">
        <f t="shared" si="6"/>
        <v>2.984883999999274E-5</v>
      </c>
      <c r="J66" s="45">
        <f t="shared" si="7"/>
        <v>-3.4854806250489939E-9</v>
      </c>
      <c r="K66" s="45">
        <f t="shared" si="8"/>
        <v>-1.7102629949516195E-3</v>
      </c>
      <c r="L66" s="45">
        <f t="shared" si="9"/>
        <v>-1.7102629949516195E-3</v>
      </c>
      <c r="N66" s="60">
        <v>1</v>
      </c>
      <c r="O66" s="60">
        <f t="shared" si="10"/>
        <v>2.967368081800246E-5</v>
      </c>
      <c r="P66" s="60">
        <f t="shared" si="11"/>
        <v>-3.8240810712124573E-9</v>
      </c>
      <c r="Q66" s="60">
        <f t="shared" si="12"/>
        <v>-1.7002268170214017E-3</v>
      </c>
    </row>
    <row r="67" spans="1:17" x14ac:dyDescent="0.25">
      <c r="A67" s="59">
        <f t="shared" si="14"/>
        <v>8</v>
      </c>
      <c r="B67" s="45">
        <f t="shared" si="0"/>
        <v>50.24</v>
      </c>
      <c r="C67" s="60">
        <f t="shared" si="1"/>
        <v>0.99999999994908362</v>
      </c>
      <c r="D67" s="60">
        <f t="shared" si="2"/>
        <v>3.3912778077717101E-5</v>
      </c>
      <c r="E67" s="45">
        <f t="shared" si="3"/>
        <v>-4.5524646082204399E-9</v>
      </c>
      <c r="F67" s="60">
        <f t="shared" si="4"/>
        <v>-1.9431163622345212E-3</v>
      </c>
      <c r="H67" s="47">
        <f t="shared" si="5"/>
        <v>0.99999999994227484</v>
      </c>
      <c r="I67" s="47">
        <f t="shared" si="6"/>
        <v>3.4112959999989166E-5</v>
      </c>
      <c r="J67" s="45">
        <f t="shared" si="7"/>
        <v>-4.5524646082204399E-9</v>
      </c>
      <c r="K67" s="45">
        <f t="shared" si="8"/>
        <v>-1.9545862797933082E-3</v>
      </c>
      <c r="L67" s="45">
        <f t="shared" si="9"/>
        <v>-1.9545862797933082E-3</v>
      </c>
      <c r="N67" s="60">
        <v>1</v>
      </c>
      <c r="O67" s="60">
        <f t="shared" si="10"/>
        <v>3.3912778077717101E-5</v>
      </c>
      <c r="P67" s="60">
        <f t="shared" si="11"/>
        <v>-4.9947186852093629E-9</v>
      </c>
      <c r="Q67" s="60">
        <f t="shared" si="12"/>
        <v>-1.9431163621355849E-3</v>
      </c>
    </row>
    <row r="68" spans="1:17" x14ac:dyDescent="0.25">
      <c r="A68" s="59">
        <f t="shared" si="14"/>
        <v>9</v>
      </c>
      <c r="B68" s="45">
        <f t="shared" si="0"/>
        <v>56.52</v>
      </c>
      <c r="C68" s="60">
        <f t="shared" si="1"/>
        <v>0.99999999993555888</v>
      </c>
      <c r="D68" s="60">
        <f t="shared" si="2"/>
        <v>3.8151875337431737E-5</v>
      </c>
      <c r="E68" s="45">
        <f t="shared" si="3"/>
        <v>-5.7617119654468995E-9</v>
      </c>
      <c r="F68" s="60">
        <f t="shared" si="4"/>
        <v>-2.1860059073208014E-3</v>
      </c>
      <c r="H68" s="47">
        <f t="shared" si="5"/>
        <v>0.99999999992694155</v>
      </c>
      <c r="I68" s="47">
        <f t="shared" si="6"/>
        <v>3.8377079999984571E-5</v>
      </c>
      <c r="J68" s="45">
        <f t="shared" si="7"/>
        <v>-5.7617119654468995E-9</v>
      </c>
      <c r="K68" s="45">
        <f t="shared" si="8"/>
        <v>-2.1989095645744369E-3</v>
      </c>
      <c r="L68" s="45">
        <f t="shared" si="9"/>
        <v>-2.1989095645744369E-3</v>
      </c>
      <c r="N68" s="60">
        <v>1</v>
      </c>
      <c r="O68" s="60">
        <f t="shared" si="10"/>
        <v>3.8151875337431737E-5</v>
      </c>
      <c r="P68" s="60">
        <f t="shared" si="11"/>
        <v>-6.321440414557615E-9</v>
      </c>
      <c r="Q68" s="60">
        <f t="shared" si="12"/>
        <v>-2.1860059071799327E-3</v>
      </c>
    </row>
    <row r="69" spans="1:17" x14ac:dyDescent="0.25">
      <c r="A69" s="59">
        <f t="shared" si="14"/>
        <v>10</v>
      </c>
      <c r="B69" s="45">
        <f t="shared" si="0"/>
        <v>62.800000000000004</v>
      </c>
      <c r="C69" s="60">
        <f t="shared" si="1"/>
        <v>0.99999999992044308</v>
      </c>
      <c r="D69" s="60">
        <f t="shared" si="2"/>
        <v>4.2390972597146374E-5</v>
      </c>
      <c r="E69" s="45">
        <f t="shared" si="3"/>
        <v>-7.1132246254427251E-9</v>
      </c>
      <c r="F69" s="60">
        <f t="shared" si="4"/>
        <v>-2.4288954523389509E-3</v>
      </c>
      <c r="H69" s="47">
        <f t="shared" si="5"/>
        <v>0.99999999990980437</v>
      </c>
      <c r="I69" s="47">
        <f t="shared" si="6"/>
        <v>4.2641199999978832E-5</v>
      </c>
      <c r="J69" s="45">
        <f t="shared" si="7"/>
        <v>-7.1132246254427251E-9</v>
      </c>
      <c r="K69" s="45">
        <f t="shared" si="8"/>
        <v>-2.443232849287436E-3</v>
      </c>
      <c r="L69" s="45">
        <f t="shared" si="9"/>
        <v>-2.443232849287436E-3</v>
      </c>
      <c r="N69" s="60">
        <v>1</v>
      </c>
      <c r="O69" s="60">
        <f t="shared" si="10"/>
        <v>4.2390972597146374E-5</v>
      </c>
      <c r="P69" s="60">
        <f t="shared" si="11"/>
        <v>-7.8042481879836743E-9</v>
      </c>
      <c r="Q69" s="60">
        <f t="shared" si="12"/>
        <v>-2.4288954521457158E-3</v>
      </c>
    </row>
    <row r="70" spans="1:17" x14ac:dyDescent="0.25">
      <c r="A70" s="59">
        <f>10+A69</f>
        <v>20</v>
      </c>
      <c r="B70" s="45">
        <f t="shared" si="0"/>
        <v>125.60000000000001</v>
      </c>
      <c r="C70" s="60">
        <f t="shared" si="1"/>
        <v>0.99999999968177222</v>
      </c>
      <c r="D70" s="60">
        <f t="shared" si="2"/>
        <v>8.4781945194292748E-5</v>
      </c>
      <c r="E70" s="45">
        <f t="shared" si="3"/>
        <v>-2.8452900465377674E-8</v>
      </c>
      <c r="F70" s="60">
        <f t="shared" si="4"/>
        <v>-4.8577908971078913E-3</v>
      </c>
      <c r="H70" s="47">
        <f t="shared" si="5"/>
        <v>0.99999999963921749</v>
      </c>
      <c r="I70" s="47">
        <f t="shared" si="6"/>
        <v>8.5282399999830609E-5</v>
      </c>
      <c r="J70" s="45">
        <f t="shared" si="7"/>
        <v>-2.8452900465377674E-8</v>
      </c>
      <c r="K70" s="45">
        <f t="shared" si="8"/>
        <v>-4.8864656910048822E-3</v>
      </c>
      <c r="L70" s="45">
        <f t="shared" si="9"/>
        <v>-4.8864656910048822E-3</v>
      </c>
      <c r="N70" s="60">
        <v>1</v>
      </c>
      <c r="O70" s="60">
        <f t="shared" si="10"/>
        <v>8.4781945194292748E-5</v>
      </c>
      <c r="P70" s="60">
        <f t="shared" si="11"/>
        <v>-3.1216992794007267E-8</v>
      </c>
      <c r="Q70" s="60">
        <f t="shared" si="12"/>
        <v>-4.8577908955620081E-3</v>
      </c>
    </row>
    <row r="71" spans="1:17" x14ac:dyDescent="0.25">
      <c r="A71" s="59">
        <f t="shared" ref="A71:A78" si="15">10+A70</f>
        <v>30</v>
      </c>
      <c r="B71" s="45">
        <f t="shared" si="0"/>
        <v>188.4</v>
      </c>
      <c r="C71" s="60">
        <f t="shared" si="1"/>
        <v>0.99999999928398764</v>
      </c>
      <c r="D71" s="60">
        <f t="shared" si="2"/>
        <v>1.2717291779143912E-4</v>
      </c>
      <c r="E71" s="45">
        <f t="shared" si="3"/>
        <v>-6.4019029553315324E-8</v>
      </c>
      <c r="F71" s="60">
        <f t="shared" si="4"/>
        <v>-7.2866863267368092E-3</v>
      </c>
      <c r="H71" s="47">
        <f t="shared" si="5"/>
        <v>0.99999999918823945</v>
      </c>
      <c r="I71" s="47">
        <f t="shared" si="6"/>
        <v>1.2792359999942826E-4</v>
      </c>
      <c r="J71" s="45">
        <f t="shared" si="7"/>
        <v>-6.4019029553315324E-8</v>
      </c>
      <c r="K71" s="45">
        <f t="shared" si="8"/>
        <v>-7.3296985175823476E-3</v>
      </c>
      <c r="L71" s="45">
        <f t="shared" si="9"/>
        <v>-7.3296985175823476E-3</v>
      </c>
      <c r="N71" s="60">
        <v>1</v>
      </c>
      <c r="O71" s="60">
        <f t="shared" si="10"/>
        <v>1.2717291779143912E-4</v>
      </c>
      <c r="P71" s="60">
        <f t="shared" si="11"/>
        <v>-7.0238232979961035E-8</v>
      </c>
      <c r="Q71" s="60">
        <f t="shared" si="12"/>
        <v>-7.2866863215194522E-3</v>
      </c>
    </row>
    <row r="72" spans="1:17" x14ac:dyDescent="0.25">
      <c r="A72" s="59">
        <f t="shared" si="15"/>
        <v>40</v>
      </c>
      <c r="B72" s="45">
        <f t="shared" si="0"/>
        <v>251.20000000000002</v>
      </c>
      <c r="C72" s="60">
        <f t="shared" si="1"/>
        <v>0.99999999872708911</v>
      </c>
      <c r="D72" s="60">
        <f t="shared" si="2"/>
        <v>1.695638903885855E-4</v>
      </c>
      <c r="E72" s="45">
        <f t="shared" si="3"/>
        <v>-1.1381160627805007E-7</v>
      </c>
      <c r="F72" s="60">
        <f t="shared" si="4"/>
        <v>-9.7155817336556961E-3</v>
      </c>
      <c r="H72" s="47">
        <f t="shared" si="5"/>
        <v>0.99999999855687005</v>
      </c>
      <c r="I72" s="47">
        <f t="shared" si="6"/>
        <v>1.7056479999864475E-4</v>
      </c>
      <c r="J72" s="45">
        <f t="shared" si="7"/>
        <v>-1.1381160627805007E-7</v>
      </c>
      <c r="K72" s="45">
        <f t="shared" si="8"/>
        <v>-9.7729313214498445E-3</v>
      </c>
      <c r="L72" s="45">
        <f t="shared" si="9"/>
        <v>-9.7729313214498445E-3</v>
      </c>
      <c r="N72" s="60">
        <v>1</v>
      </c>
      <c r="O72" s="60">
        <f t="shared" si="10"/>
        <v>1.695638903885855E-4</v>
      </c>
      <c r="P72" s="60">
        <f t="shared" si="11"/>
        <v>-1.2486796992053531E-7</v>
      </c>
      <c r="Q72" s="60">
        <f t="shared" si="12"/>
        <v>-9.7155817212886252E-3</v>
      </c>
    </row>
    <row r="73" spans="1:17" x14ac:dyDescent="0.25">
      <c r="A73" s="59">
        <f t="shared" si="15"/>
        <v>50</v>
      </c>
      <c r="B73" s="45">
        <f t="shared" si="0"/>
        <v>314</v>
      </c>
      <c r="C73" s="60">
        <f t="shared" si="1"/>
        <v>0.99999999801107675</v>
      </c>
      <c r="D73" s="60">
        <f t="shared" si="2"/>
        <v>2.1195486298573185E-4</v>
      </c>
      <c r="E73" s="45">
        <f t="shared" si="3"/>
        <v>-1.7783063474155471E-7</v>
      </c>
      <c r="F73" s="60">
        <f t="shared" si="4"/>
        <v>-1.2144477110294538E-2</v>
      </c>
      <c r="H73" s="47">
        <f t="shared" si="5"/>
        <v>0.9999999977451095</v>
      </c>
      <c r="I73" s="47">
        <f t="shared" si="6"/>
        <v>2.1320599999735302E-4</v>
      </c>
      <c r="J73" s="45">
        <f t="shared" si="7"/>
        <v>-1.778306328128997E-7</v>
      </c>
      <c r="K73" s="45">
        <f t="shared" si="8"/>
        <v>-1.2216164095037382E-2</v>
      </c>
      <c r="L73" s="45">
        <f t="shared" si="9"/>
        <v>-1.2216164095037382E-2</v>
      </c>
      <c r="N73" s="60">
        <v>1</v>
      </c>
      <c r="O73" s="60">
        <f t="shared" si="10"/>
        <v>2.1195486298573185E-4</v>
      </c>
      <c r="P73" s="60">
        <f t="shared" si="11"/>
        <v>-1.9510620005292816E-7</v>
      </c>
      <c r="Q73" s="60">
        <f t="shared" si="12"/>
        <v>-1.2144477086140104E-2</v>
      </c>
    </row>
    <row r="74" spans="1:17" x14ac:dyDescent="0.25">
      <c r="A74" s="59">
        <f t="shared" si="15"/>
        <v>60</v>
      </c>
      <c r="B74" s="45">
        <f t="shared" si="0"/>
        <v>376.8</v>
      </c>
      <c r="C74" s="60">
        <f t="shared" si="1"/>
        <v>0.99999999713595045</v>
      </c>
      <c r="D74" s="60">
        <f t="shared" si="2"/>
        <v>2.5434583558287823E-4</v>
      </c>
      <c r="E74" s="45">
        <f t="shared" si="3"/>
        <v>-2.5607610947243079E-7</v>
      </c>
      <c r="F74" s="60">
        <f t="shared" si="4"/>
        <v>-1.4573372449083329E-2</v>
      </c>
      <c r="H74" s="47">
        <f t="shared" si="5"/>
        <v>0.9999999967529577</v>
      </c>
      <c r="I74" s="47">
        <f t="shared" si="6"/>
        <v>2.55847199995426E-4</v>
      </c>
      <c r="J74" s="45">
        <f t="shared" si="7"/>
        <v>-2.560761114010858E-7</v>
      </c>
      <c r="K74" s="45">
        <f t="shared" si="8"/>
        <v>-1.4659396830774971E-2</v>
      </c>
      <c r="L74" s="45">
        <f t="shared" si="9"/>
        <v>-1.4659396830774971E-2</v>
      </c>
      <c r="N74" s="60">
        <v>1</v>
      </c>
      <c r="O74" s="60">
        <f t="shared" si="10"/>
        <v>2.5434583558287823E-4</v>
      </c>
      <c r="P74" s="60">
        <f t="shared" si="11"/>
        <v>-2.8095292664877516E-7</v>
      </c>
      <c r="Q74" s="60">
        <f t="shared" si="12"/>
        <v>-1.457337240734447E-2</v>
      </c>
    </row>
    <row r="75" spans="1:17" x14ac:dyDescent="0.25">
      <c r="A75" s="59">
        <f t="shared" si="15"/>
        <v>70</v>
      </c>
      <c r="B75" s="45">
        <f t="shared" si="0"/>
        <v>439.6</v>
      </c>
      <c r="C75" s="60">
        <f t="shared" si="1"/>
        <v>0.99999999610171042</v>
      </c>
      <c r="D75" s="60">
        <f t="shared" si="2"/>
        <v>2.9673680818002461E-4</v>
      </c>
      <c r="E75" s="45">
        <f t="shared" si="3"/>
        <v>-3.485480337481311E-7</v>
      </c>
      <c r="F75" s="60">
        <f t="shared" si="4"/>
        <v>-1.7002267742452063E-2</v>
      </c>
      <c r="H75" s="47">
        <f t="shared" si="5"/>
        <v>0.99999999558041464</v>
      </c>
      <c r="I75" s="47">
        <f t="shared" si="6"/>
        <v>2.9848839999273665E-4</v>
      </c>
      <c r="J75" s="45">
        <f t="shared" si="7"/>
        <v>-3.485480337481311E-7</v>
      </c>
      <c r="K75" s="45">
        <f t="shared" si="8"/>
        <v>-1.7102629521092629E-2</v>
      </c>
      <c r="L75" s="45">
        <f t="shared" si="9"/>
        <v>-1.7102629521092629E-2</v>
      </c>
      <c r="N75" s="60">
        <v>1</v>
      </c>
      <c r="O75" s="60">
        <f t="shared" si="10"/>
        <v>2.9673680818002461E-4</v>
      </c>
      <c r="P75" s="60">
        <f t="shared" si="11"/>
        <v>-3.8240814534923713E-7</v>
      </c>
      <c r="Q75" s="60">
        <f t="shared" si="12"/>
        <v>-1.7002267676172304E-2</v>
      </c>
    </row>
    <row r="76" spans="1:17" x14ac:dyDescent="0.25">
      <c r="A76" s="59">
        <f t="shared" si="15"/>
        <v>80</v>
      </c>
      <c r="B76" s="45">
        <f t="shared" si="0"/>
        <v>502.40000000000003</v>
      </c>
      <c r="C76" s="60">
        <f t="shared" si="1"/>
        <v>0.99999999490835645</v>
      </c>
      <c r="D76" s="60">
        <f t="shared" si="2"/>
        <v>3.3912778077717099E-4</v>
      </c>
      <c r="E76" s="45">
        <f t="shared" si="3"/>
        <v>-4.5524640609437444E-7</v>
      </c>
      <c r="F76" s="60">
        <f t="shared" si="4"/>
        <v>-1.9431162982830725E-2</v>
      </c>
      <c r="H76" s="47">
        <f t="shared" si="5"/>
        <v>0.99999999422748032</v>
      </c>
      <c r="I76" s="47">
        <f t="shared" si="6"/>
        <v>3.4112959998915793E-4</v>
      </c>
      <c r="J76" s="45">
        <f t="shared" si="7"/>
        <v>-4.5524640609437444E-7</v>
      </c>
      <c r="K76" s="45">
        <f t="shared" si="8"/>
        <v>-1.9545862158420364E-2</v>
      </c>
      <c r="L76" s="45">
        <f t="shared" si="9"/>
        <v>-1.9545862158420364E-2</v>
      </c>
      <c r="N76" s="60">
        <v>1</v>
      </c>
      <c r="O76" s="60">
        <f t="shared" si="10"/>
        <v>3.3912778077717099E-4</v>
      </c>
      <c r="P76" s="60">
        <f t="shared" si="11"/>
        <v>-4.9947185573692969E-7</v>
      </c>
      <c r="Q76" s="60">
        <f t="shared" si="12"/>
        <v>-1.9431162883894175E-2</v>
      </c>
    </row>
    <row r="77" spans="1:17" x14ac:dyDescent="0.25">
      <c r="A77" s="59">
        <f t="shared" si="15"/>
        <v>90</v>
      </c>
      <c r="B77" s="45">
        <f t="shared" si="0"/>
        <v>565.20000000000005</v>
      </c>
      <c r="C77" s="60">
        <f t="shared" si="1"/>
        <v>0.99999999355588864</v>
      </c>
      <c r="D77" s="60">
        <f t="shared" si="2"/>
        <v>3.8151875337431737E-4</v>
      </c>
      <c r="E77" s="45">
        <f t="shared" si="3"/>
        <v>-5.7617122703543828E-7</v>
      </c>
      <c r="F77" s="60">
        <f t="shared" si="4"/>
        <v>-2.1860058162649312E-2</v>
      </c>
      <c r="H77" s="47">
        <f t="shared" si="5"/>
        <v>0.99999999269415474</v>
      </c>
      <c r="I77" s="47">
        <f t="shared" si="6"/>
        <v>3.8377079998456272E-4</v>
      </c>
      <c r="J77" s="45">
        <f t="shared" si="7"/>
        <v>-5.7617122510678322E-7</v>
      </c>
      <c r="K77" s="45">
        <f t="shared" si="8"/>
        <v>-2.1989094735188192E-2</v>
      </c>
      <c r="L77" s="45">
        <f t="shared" si="9"/>
        <v>-2.1989094735188192E-2</v>
      </c>
      <c r="N77" s="60">
        <v>1</v>
      </c>
      <c r="O77" s="60">
        <f t="shared" si="10"/>
        <v>3.8151875337431737E-4</v>
      </c>
      <c r="P77" s="60">
        <f t="shared" si="11"/>
        <v>-6.3214405844294127E-7</v>
      </c>
      <c r="Q77" s="60">
        <f t="shared" si="12"/>
        <v>-2.1860058021780673E-2</v>
      </c>
    </row>
    <row r="78" spans="1:17" x14ac:dyDescent="0.25">
      <c r="A78" s="59">
        <f t="shared" si="15"/>
        <v>100</v>
      </c>
      <c r="B78" s="45">
        <f t="shared" si="0"/>
        <v>628</v>
      </c>
      <c r="C78" s="60">
        <f t="shared" si="1"/>
        <v>0.9999999920443069</v>
      </c>
      <c r="D78" s="60">
        <f t="shared" si="2"/>
        <v>4.239097259714637E-4</v>
      </c>
      <c r="E78" s="45">
        <f t="shared" si="3"/>
        <v>-7.1132249137953855E-7</v>
      </c>
      <c r="F78" s="60">
        <f t="shared" si="4"/>
        <v>-2.4288953274337815E-2</v>
      </c>
      <c r="H78" s="47">
        <f t="shared" si="5"/>
        <v>0.9999999909804379</v>
      </c>
      <c r="I78" s="47">
        <f t="shared" si="6"/>
        <v>4.26411999978824E-4</v>
      </c>
      <c r="J78" s="45">
        <f t="shared" si="7"/>
        <v>-7.1132248945088349E-7</v>
      </c>
      <c r="K78" s="45">
        <f t="shared" si="8"/>
        <v>-2.4432327243826126E-2</v>
      </c>
      <c r="L78" s="45">
        <f t="shared" si="9"/>
        <v>-2.4432327243826126E-2</v>
      </c>
      <c r="N78" s="60">
        <v>1</v>
      </c>
      <c r="O78" s="60">
        <f t="shared" si="10"/>
        <v>4.239097259714637E-4</v>
      </c>
      <c r="P78" s="60">
        <f t="shared" si="11"/>
        <v>-7.8042475032519519E-7</v>
      </c>
      <c r="Q78" s="60">
        <f t="shared" si="12"/>
        <v>-2.428895308110238E-2</v>
      </c>
    </row>
    <row r="79" spans="1:17" x14ac:dyDescent="0.25">
      <c r="A79" s="59">
        <f>100+A78</f>
        <v>200</v>
      </c>
      <c r="B79" s="45">
        <f t="shared" si="0"/>
        <v>1256</v>
      </c>
      <c r="C79" s="60">
        <f t="shared" si="1"/>
        <v>0.99999996817722758</v>
      </c>
      <c r="D79" s="60">
        <f t="shared" si="2"/>
        <v>8.478194519429274E-4</v>
      </c>
      <c r="E79" s="45">
        <f t="shared" si="3"/>
        <v>-2.8452892648836507E-6</v>
      </c>
      <c r="F79" s="60">
        <f t="shared" si="4"/>
        <v>-4.8577898978668328E-2</v>
      </c>
      <c r="H79" s="47">
        <f t="shared" si="5"/>
        <v>0.99999996392175172</v>
      </c>
      <c r="I79" s="47">
        <f t="shared" si="6"/>
        <v>8.5282399983059164E-4</v>
      </c>
      <c r="J79" s="45">
        <f t="shared" si="7"/>
        <v>-2.8452892648836507E-6</v>
      </c>
      <c r="K79" s="45">
        <f t="shared" si="8"/>
        <v>-4.886464691766592E-2</v>
      </c>
      <c r="L79" s="45">
        <f t="shared" si="9"/>
        <v>-4.886464691766592E-2</v>
      </c>
      <c r="N79" s="60">
        <v>1</v>
      </c>
      <c r="O79" s="60">
        <f t="shared" si="10"/>
        <v>8.478194519429274E-4</v>
      </c>
      <c r="P79" s="60">
        <f t="shared" si="11"/>
        <v>-3.1216981597214323E-6</v>
      </c>
      <c r="Q79" s="60">
        <f t="shared" si="12"/>
        <v>-4.8577897432785642E-2</v>
      </c>
    </row>
    <row r="80" spans="1:17" x14ac:dyDescent="0.25">
      <c r="A80" s="59">
        <f t="shared" ref="A80:A87" si="16">100+A79</f>
        <v>300</v>
      </c>
      <c r="B80" s="45">
        <f t="shared" si="0"/>
        <v>1884</v>
      </c>
      <c r="C80" s="60">
        <f t="shared" si="1"/>
        <v>0.99999992839876217</v>
      </c>
      <c r="D80" s="60">
        <f t="shared" si="2"/>
        <v>1.2717291779143912E-3</v>
      </c>
      <c r="E80" s="45">
        <f t="shared" si="3"/>
        <v>-6.4018982388577126E-6</v>
      </c>
      <c r="F80" s="60">
        <f t="shared" si="4"/>
        <v>-7.286682954299907E-2</v>
      </c>
      <c r="H80" s="47">
        <f t="shared" si="5"/>
        <v>0.99999991882394124</v>
      </c>
      <c r="I80" s="47">
        <f t="shared" si="6"/>
        <v>1.2792359994282469E-3</v>
      </c>
      <c r="J80" s="45">
        <f t="shared" si="7"/>
        <v>-6.401898236929055E-6</v>
      </c>
      <c r="K80" s="45">
        <f t="shared" si="8"/>
        <v>-7.3296951451547909E-2</v>
      </c>
      <c r="L80" s="45">
        <f t="shared" si="9"/>
        <v>-7.3296951451547909E-2</v>
      </c>
      <c r="N80" s="60">
        <v>1</v>
      </c>
      <c r="O80" s="60">
        <f t="shared" si="10"/>
        <v>1.2717291779143912E-3</v>
      </c>
      <c r="P80" s="60">
        <f t="shared" si="11"/>
        <v>-7.0238177044123486E-6</v>
      </c>
      <c r="Q80" s="60">
        <f t="shared" si="12"/>
        <v>-7.2866824325649504E-2</v>
      </c>
    </row>
    <row r="81" spans="1:17" x14ac:dyDescent="0.25">
      <c r="A81" s="59">
        <f t="shared" si="16"/>
        <v>400</v>
      </c>
      <c r="B81" s="45">
        <f t="shared" si="0"/>
        <v>2512</v>
      </c>
      <c r="C81" s="60">
        <f t="shared" si="1"/>
        <v>0.99999987270891044</v>
      </c>
      <c r="D81" s="60">
        <f t="shared" si="2"/>
        <v>1.6956389038858548E-3</v>
      </c>
      <c r="E81" s="45">
        <f t="shared" si="3"/>
        <v>-1.138114592844145E-5</v>
      </c>
      <c r="F81" s="60">
        <f t="shared" si="4"/>
        <v>-9.7155737397367256E-2</v>
      </c>
      <c r="H81" s="47">
        <f t="shared" si="5"/>
        <v>0.99999985568700667</v>
      </c>
      <c r="I81" s="47">
        <f t="shared" si="6"/>
        <v>1.7056479986447327E-3</v>
      </c>
      <c r="J81" s="45">
        <f t="shared" si="7"/>
        <v>-1.138114592844145E-5</v>
      </c>
      <c r="K81" s="45">
        <f t="shared" si="8"/>
        <v>-9.772923327553025E-2</v>
      </c>
      <c r="L81" s="45">
        <f t="shared" si="9"/>
        <v>-9.772923327553025E-2</v>
      </c>
      <c r="N81" s="60">
        <v>1</v>
      </c>
      <c r="O81" s="60">
        <f t="shared" si="10"/>
        <v>1.6956389038858548E-3</v>
      </c>
      <c r="P81" s="60">
        <f t="shared" si="11"/>
        <v>-1.2486779176487973E-5</v>
      </c>
      <c r="Q81" s="60">
        <f t="shared" si="12"/>
        <v>-9.7155725030331291E-2</v>
      </c>
    </row>
    <row r="82" spans="1:17" x14ac:dyDescent="0.25">
      <c r="A82" s="59">
        <f t="shared" si="16"/>
        <v>500</v>
      </c>
      <c r="B82" s="45">
        <f t="shared" si="0"/>
        <v>3140</v>
      </c>
      <c r="C82" s="60">
        <f t="shared" si="1"/>
        <v>0.99999980110767261</v>
      </c>
      <c r="D82" s="60">
        <f t="shared" si="2"/>
        <v>2.1195486298573184E-3</v>
      </c>
      <c r="E82" s="45">
        <f t="shared" si="3"/>
        <v>-1.7783027467738508E-5</v>
      </c>
      <c r="F82" s="60">
        <f t="shared" si="4"/>
        <v>-0.12144461497185466</v>
      </c>
      <c r="H82" s="47">
        <f t="shared" si="5"/>
        <v>0.99999977451094801</v>
      </c>
      <c r="I82" s="47">
        <f t="shared" si="6"/>
        <v>2.1320599973529935E-3</v>
      </c>
      <c r="J82" s="45">
        <f t="shared" si="7"/>
        <v>-1.7783027469667168E-5</v>
      </c>
      <c r="K82" s="45">
        <f t="shared" si="8"/>
        <v>-0.12216148481971567</v>
      </c>
      <c r="L82" s="45">
        <f t="shared" si="9"/>
        <v>-0.12216148481971567</v>
      </c>
      <c r="N82" s="60">
        <v>1</v>
      </c>
      <c r="O82" s="60">
        <f t="shared" si="10"/>
        <v>2.1195486298573184E-3</v>
      </c>
      <c r="P82" s="60">
        <f t="shared" si="11"/>
        <v>-1.9510576684855815E-5</v>
      </c>
      <c r="Q82" s="60">
        <f t="shared" si="12"/>
        <v>-0.12144459081752487</v>
      </c>
    </row>
    <row r="83" spans="1:17" x14ac:dyDescent="0.25">
      <c r="A83" s="59">
        <f t="shared" si="16"/>
        <v>600</v>
      </c>
      <c r="B83" s="45">
        <f t="shared" si="0"/>
        <v>3768</v>
      </c>
      <c r="C83" s="60">
        <f t="shared" si="1"/>
        <v>0.99999971359504858</v>
      </c>
      <c r="D83" s="60">
        <f t="shared" si="2"/>
        <v>2.5434583558287824E-3</v>
      </c>
      <c r="E83" s="45">
        <f t="shared" si="3"/>
        <v>-2.5607536596301898E-5</v>
      </c>
      <c r="F83" s="60">
        <f t="shared" si="4"/>
        <v>-0.14573345469660234</v>
      </c>
      <c r="H83" s="47">
        <f t="shared" si="5"/>
        <v>0.99999967529576517</v>
      </c>
      <c r="I83" s="47">
        <f t="shared" si="6"/>
        <v>2.5584719954259726E-3</v>
      </c>
      <c r="J83" s="45">
        <f t="shared" si="7"/>
        <v>-2.5607536596301898E-5</v>
      </c>
      <c r="K83" s="45">
        <f t="shared" si="8"/>
        <v>-0.14659369851426629</v>
      </c>
      <c r="L83" s="45">
        <f t="shared" si="9"/>
        <v>-0.14659369851426629</v>
      </c>
      <c r="N83" s="60">
        <v>1</v>
      </c>
      <c r="O83" s="60">
        <f t="shared" si="10"/>
        <v>2.5434583558287824E-3</v>
      </c>
      <c r="P83" s="60">
        <f t="shared" si="11"/>
        <v>-2.8095202658115347E-5</v>
      </c>
      <c r="Q83" s="60">
        <f t="shared" si="12"/>
        <v>-0.14573341295799933</v>
      </c>
    </row>
    <row r="84" spans="1:17" x14ac:dyDescent="0.25">
      <c r="A84" s="59">
        <f t="shared" si="16"/>
        <v>700</v>
      </c>
      <c r="B84" s="45">
        <f t="shared" si="0"/>
        <v>4396</v>
      </c>
      <c r="C84" s="60">
        <f t="shared" si="1"/>
        <v>0.99999961017103833</v>
      </c>
      <c r="D84" s="60">
        <f t="shared" si="2"/>
        <v>2.967368081800246E-3</v>
      </c>
      <c r="E84" s="45">
        <f t="shared" si="3"/>
        <v>-3.4854665657187352E-5</v>
      </c>
      <c r="F84" s="60">
        <f t="shared" si="4"/>
        <v>-0.17002224900182564</v>
      </c>
      <c r="H84" s="47">
        <f t="shared" si="5"/>
        <v>0.99999955804145813</v>
      </c>
      <c r="I84" s="47">
        <f t="shared" si="6"/>
        <v>2.9848839927366141E-3</v>
      </c>
      <c r="J84" s="45">
        <f t="shared" si="7"/>
        <v>-3.4854665659116012E-5</v>
      </c>
      <c r="K84" s="45">
        <f t="shared" si="8"/>
        <v>-0.17102586678941839</v>
      </c>
      <c r="L84" s="45">
        <f t="shared" si="9"/>
        <v>-0.17102586678941839</v>
      </c>
      <c r="N84" s="60">
        <v>1</v>
      </c>
      <c r="O84" s="60">
        <f t="shared" si="10"/>
        <v>2.967368081800246E-3</v>
      </c>
      <c r="P84" s="60">
        <f t="shared" si="11"/>
        <v>-3.8240647842605523E-5</v>
      </c>
      <c r="Q84" s="60">
        <f t="shared" si="12"/>
        <v>-0.17002218272261796</v>
      </c>
    </row>
    <row r="85" spans="1:17" x14ac:dyDescent="0.25">
      <c r="A85" s="59">
        <f t="shared" si="16"/>
        <v>800</v>
      </c>
      <c r="B85" s="45">
        <f t="shared" si="0"/>
        <v>5024</v>
      </c>
      <c r="C85" s="60">
        <f t="shared" si="1"/>
        <v>0.99999949083564199</v>
      </c>
      <c r="D85" s="60">
        <f t="shared" si="2"/>
        <v>3.3912778077717096E-3</v>
      </c>
      <c r="E85" s="45">
        <f t="shared" si="3"/>
        <v>-4.5524405608503348E-5</v>
      </c>
      <c r="F85" s="60">
        <f t="shared" si="4"/>
        <v>-0.19431099031782892</v>
      </c>
      <c r="H85" s="47">
        <f t="shared" si="5"/>
        <v>0.99999942274802689</v>
      </c>
      <c r="I85" s="47">
        <f t="shared" si="6"/>
        <v>3.4112959891578606E-3</v>
      </c>
      <c r="J85" s="45">
        <f t="shared" si="7"/>
        <v>-4.5524405608503348E-5</v>
      </c>
      <c r="K85" s="45">
        <f t="shared" si="8"/>
        <v>-0.19545798207549725</v>
      </c>
      <c r="L85" s="45">
        <f t="shared" si="9"/>
        <v>-0.19545798207549725</v>
      </c>
      <c r="N85" s="60">
        <v>1</v>
      </c>
      <c r="O85" s="60">
        <f t="shared" si="10"/>
        <v>3.3912778077717096E-3</v>
      </c>
      <c r="P85" s="60">
        <f t="shared" si="11"/>
        <v>-4.9946901293696678E-5</v>
      </c>
      <c r="Q85" s="60">
        <f t="shared" si="12"/>
        <v>-0.19431089138235685</v>
      </c>
    </row>
    <row r="86" spans="1:17" x14ac:dyDescent="0.25">
      <c r="A86" s="59">
        <f t="shared" si="16"/>
        <v>900</v>
      </c>
      <c r="B86" s="45">
        <f t="shared" si="0"/>
        <v>5652</v>
      </c>
      <c r="C86" s="60">
        <f t="shared" si="1"/>
        <v>0.99999935558885933</v>
      </c>
      <c r="D86" s="60">
        <f t="shared" si="2"/>
        <v>3.8151875337431732E-3</v>
      </c>
      <c r="E86" s="45">
        <f t="shared" si="3"/>
        <v>-5.7616746013741869E-5</v>
      </c>
      <c r="F86" s="60">
        <f t="shared" si="4"/>
        <v>-0.21859967107502049</v>
      </c>
      <c r="H86" s="47">
        <f t="shared" si="5"/>
        <v>0.99999926941547157</v>
      </c>
      <c r="I86" s="47">
        <f t="shared" si="6"/>
        <v>3.8377079845626568E-3</v>
      </c>
      <c r="J86" s="45">
        <f t="shared" si="7"/>
        <v>-5.7616746013741869E-5</v>
      </c>
      <c r="K86" s="45">
        <f t="shared" si="8"/>
        <v>-0.21989003680293215</v>
      </c>
      <c r="L86" s="45">
        <f t="shared" si="9"/>
        <v>-0.21989003680293215</v>
      </c>
      <c r="N86" s="60">
        <v>1</v>
      </c>
      <c r="O86" s="60">
        <f t="shared" si="10"/>
        <v>3.8151875337431732E-3</v>
      </c>
      <c r="P86" s="60">
        <f t="shared" si="11"/>
        <v>-6.3213950396971469E-5</v>
      </c>
      <c r="Q86" s="60">
        <f t="shared" si="12"/>
        <v>-0.21859953020832401</v>
      </c>
    </row>
    <row r="87" spans="1:17" x14ac:dyDescent="0.25">
      <c r="A87" s="59">
        <f t="shared" si="16"/>
        <v>1000</v>
      </c>
      <c r="B87" s="45">
        <f t="shared" si="0"/>
        <v>6280</v>
      </c>
      <c r="C87" s="60">
        <f t="shared" si="1"/>
        <v>0.99999920443069057</v>
      </c>
      <c r="D87" s="60">
        <f t="shared" si="2"/>
        <v>4.2390972597146368E-3</v>
      </c>
      <c r="E87" s="45">
        <f t="shared" si="3"/>
        <v>-7.1131675046570122E-5</v>
      </c>
      <c r="F87" s="60">
        <f t="shared" si="4"/>
        <v>-0.24288828370392718</v>
      </c>
      <c r="H87" s="47">
        <f t="shared" si="5"/>
        <v>0.99999909804379195</v>
      </c>
      <c r="I87" s="47">
        <f t="shared" si="6"/>
        <v>4.2641199788239458E-3</v>
      </c>
      <c r="J87" s="45">
        <f t="shared" si="7"/>
        <v>-7.1131675046570122E-5</v>
      </c>
      <c r="K87" s="45">
        <f t="shared" si="8"/>
        <v>-0.24432202340227113</v>
      </c>
      <c r="L87" s="45">
        <f t="shared" si="9"/>
        <v>-0.24432202340227113</v>
      </c>
      <c r="N87" s="60">
        <v>1</v>
      </c>
      <c r="O87" s="60">
        <f t="shared" si="10"/>
        <v>4.2390972597146368E-3</v>
      </c>
      <c r="P87" s="60">
        <f t="shared" si="11"/>
        <v>-7.8041780841183806E-5</v>
      </c>
      <c r="Q87" s="60">
        <f t="shared" si="12"/>
        <v>-0.24288809047177798</v>
      </c>
    </row>
    <row r="88" spans="1:17" x14ac:dyDescent="0.25">
      <c r="A88" s="59">
        <f>1000+A87</f>
        <v>2000</v>
      </c>
      <c r="B88" s="45">
        <f t="shared" si="0"/>
        <v>12560</v>
      </c>
      <c r="C88" s="60">
        <f t="shared" si="1"/>
        <v>0.99999681772276217</v>
      </c>
      <c r="D88" s="60">
        <f t="shared" si="2"/>
        <v>8.4781945194292736E-3</v>
      </c>
      <c r="E88" s="45">
        <f t="shared" si="3"/>
        <v>-2.8451974318066426E-4</v>
      </c>
      <c r="F88" s="60">
        <f t="shared" si="4"/>
        <v>-0.48576899776786159</v>
      </c>
      <c r="H88" s="47">
        <f t="shared" si="5"/>
        <v>0.999996392175168</v>
      </c>
      <c r="I88" s="47">
        <f t="shared" si="6"/>
        <v>8.528239830591566E-3</v>
      </c>
      <c r="J88" s="45">
        <f t="shared" si="7"/>
        <v>-2.8451974318066426E-4</v>
      </c>
      <c r="K88" s="45">
        <f t="shared" si="8"/>
        <v>-0.48863647718552361</v>
      </c>
      <c r="L88" s="45">
        <f t="shared" si="9"/>
        <v>-0.48863647718552361</v>
      </c>
      <c r="N88" s="60">
        <v>1</v>
      </c>
      <c r="O88" s="60">
        <f t="shared" si="10"/>
        <v>8.4781945194292736E-3</v>
      </c>
      <c r="P88" s="60">
        <f t="shared" si="11"/>
        <v>-3.1215870935744744E-4</v>
      </c>
      <c r="Q88" s="60">
        <f t="shared" si="12"/>
        <v>-0.48576745199030957</v>
      </c>
    </row>
    <row r="89" spans="1:17" x14ac:dyDescent="0.25">
      <c r="A89" s="59">
        <f t="shared" ref="A89:A96" si="17">1000+A88</f>
        <v>3000</v>
      </c>
      <c r="B89" s="45">
        <f t="shared" si="0"/>
        <v>18840</v>
      </c>
      <c r="C89" s="60">
        <f t="shared" si="1"/>
        <v>0.9999928398762149</v>
      </c>
      <c r="D89" s="60">
        <f t="shared" si="2"/>
        <v>1.2717291779143911E-2</v>
      </c>
      <c r="E89" s="45">
        <f t="shared" si="3"/>
        <v>-6.4014333566329374E-4</v>
      </c>
      <c r="F89" s="60">
        <f t="shared" si="4"/>
        <v>-0.72863457403573095</v>
      </c>
      <c r="H89" s="47">
        <f t="shared" si="5"/>
        <v>0.99999188239412795</v>
      </c>
      <c r="I89" s="47">
        <f t="shared" si="6"/>
        <v>1.279235942824653E-2</v>
      </c>
      <c r="J89" s="45">
        <f t="shared" si="7"/>
        <v>-6.4014333566329374E-4</v>
      </c>
      <c r="K89" s="45">
        <f t="shared" si="8"/>
        <v>-0.7329357932146604</v>
      </c>
      <c r="L89" s="45">
        <f t="shared" si="9"/>
        <v>-0.7329357932146604</v>
      </c>
      <c r="N89" s="60">
        <v>1</v>
      </c>
      <c r="O89" s="60">
        <f t="shared" si="10"/>
        <v>1.2717291779143911E-2</v>
      </c>
      <c r="P89" s="60">
        <f t="shared" si="11"/>
        <v>-7.0232554653820332E-4</v>
      </c>
      <c r="Q89" s="60">
        <f t="shared" si="12"/>
        <v>-0.72862935748441737</v>
      </c>
    </row>
    <row r="90" spans="1:17" x14ac:dyDescent="0.25">
      <c r="A90" s="59">
        <f t="shared" si="17"/>
        <v>4000</v>
      </c>
      <c r="B90" s="45">
        <f t="shared" si="0"/>
        <v>25120</v>
      </c>
      <c r="C90" s="60">
        <f t="shared" si="1"/>
        <v>0.99998727089104866</v>
      </c>
      <c r="D90" s="60">
        <f t="shared" si="2"/>
        <v>1.6956389038858547E-2</v>
      </c>
      <c r="E90" s="45">
        <f t="shared" si="3"/>
        <v>-1.1379676788343899E-3</v>
      </c>
      <c r="F90" s="60">
        <f t="shared" si="4"/>
        <v>-0.97147744731857821</v>
      </c>
      <c r="H90" s="47">
        <f t="shared" si="5"/>
        <v>0.99998556870067201</v>
      </c>
      <c r="I90" s="47">
        <f t="shared" si="6"/>
        <v>1.7056478644732514E-2</v>
      </c>
      <c r="J90" s="45">
        <f t="shared" si="7"/>
        <v>-1.1379676788343899E-3</v>
      </c>
      <c r="K90" s="45">
        <f t="shared" si="8"/>
        <v>-0.97721240632169959</v>
      </c>
      <c r="L90" s="45">
        <f t="shared" si="9"/>
        <v>-0.97721240632169959</v>
      </c>
      <c r="N90" s="60">
        <v>1</v>
      </c>
      <c r="O90" s="60">
        <f t="shared" si="10"/>
        <v>1.6956389038858547E-2</v>
      </c>
      <c r="P90" s="60">
        <f t="shared" si="11"/>
        <v>-1.248500237442745E-3</v>
      </c>
      <c r="Q90" s="60">
        <f t="shared" si="12"/>
        <v>-0.97146508364604767</v>
      </c>
    </row>
    <row r="91" spans="1:17" x14ac:dyDescent="0.25">
      <c r="A91" s="59">
        <f t="shared" si="17"/>
        <v>5000</v>
      </c>
      <c r="B91" s="45">
        <f t="shared" si="0"/>
        <v>31400</v>
      </c>
      <c r="C91" s="60">
        <f t="shared" si="1"/>
        <v>0.99998011076726345</v>
      </c>
      <c r="D91" s="60">
        <f t="shared" si="2"/>
        <v>2.1195486298573187E-2</v>
      </c>
      <c r="E91" s="45">
        <f t="shared" si="3"/>
        <v>-1.7779441054805271E-3</v>
      </c>
      <c r="F91" s="60">
        <f t="shared" si="4"/>
        <v>-1.2142900568763002</v>
      </c>
      <c r="H91" s="47">
        <f t="shared" si="5"/>
        <v>0.99997745109479996</v>
      </c>
      <c r="I91" s="47">
        <f t="shared" si="6"/>
        <v>2.132059735299319E-2</v>
      </c>
      <c r="J91" s="45">
        <f t="shared" si="7"/>
        <v>-1.7779441054805271E-3</v>
      </c>
      <c r="K91" s="45">
        <f t="shared" si="8"/>
        <v>-1.2214587557875149</v>
      </c>
      <c r="L91" s="45">
        <f t="shared" si="9"/>
        <v>-1.2214587557875149</v>
      </c>
      <c r="N91" s="60">
        <v>1</v>
      </c>
      <c r="O91" s="60">
        <f t="shared" si="10"/>
        <v>2.1195486298573187E-2</v>
      </c>
      <c r="P91" s="60">
        <f t="shared" si="11"/>
        <v>-1.9506239263106682E-3</v>
      </c>
      <c r="Q91" s="60">
        <f t="shared" si="12"/>
        <v>-1.2142659128092979</v>
      </c>
    </row>
    <row r="92" spans="1:17" x14ac:dyDescent="0.25">
      <c r="A92" s="59">
        <f t="shared" si="17"/>
        <v>6000</v>
      </c>
      <c r="B92" s="45">
        <f t="shared" si="0"/>
        <v>37680</v>
      </c>
      <c r="C92" s="60">
        <f t="shared" si="1"/>
        <v>0.99997135950485949</v>
      </c>
      <c r="D92" s="60">
        <f t="shared" si="2"/>
        <v>2.5434583558287822E-2</v>
      </c>
      <c r="E92" s="45">
        <f t="shared" si="3"/>
        <v>-2.5600100707152697E-3</v>
      </c>
      <c r="F92" s="60">
        <f t="shared" si="4"/>
        <v>-1.4570648478972092</v>
      </c>
      <c r="H92" s="47">
        <f t="shared" si="5"/>
        <v>0.99996752957651203</v>
      </c>
      <c r="I92" s="47">
        <f t="shared" si="6"/>
        <v>2.5584715425972231E-2</v>
      </c>
      <c r="J92" s="45">
        <f t="shared" si="7"/>
        <v>-2.5600100707152697E-3</v>
      </c>
      <c r="K92" s="45">
        <f t="shared" si="8"/>
        <v>-1.4656672868213958</v>
      </c>
      <c r="L92" s="45">
        <f t="shared" si="9"/>
        <v>-1.4656672868213958</v>
      </c>
      <c r="N92" s="60">
        <v>1</v>
      </c>
      <c r="O92" s="60">
        <f t="shared" si="10"/>
        <v>2.5434583558287822E-2</v>
      </c>
      <c r="P92" s="60">
        <f t="shared" si="11"/>
        <v>-2.8086209776893058E-3</v>
      </c>
      <c r="Q92" s="60">
        <f t="shared" si="12"/>
        <v>-1.4570231348264027</v>
      </c>
    </row>
    <row r="93" spans="1:17" x14ac:dyDescent="0.25">
      <c r="A93" s="59">
        <f t="shared" si="17"/>
        <v>7000</v>
      </c>
      <c r="B93" s="45">
        <f t="shared" si="0"/>
        <v>43960</v>
      </c>
      <c r="C93" s="60">
        <f t="shared" si="1"/>
        <v>0.99996101710383645</v>
      </c>
      <c r="D93" s="60">
        <f t="shared" si="2"/>
        <v>2.9673680818002458E-2</v>
      </c>
      <c r="E93" s="45">
        <f t="shared" si="3"/>
        <v>-3.4840891724014981E-3</v>
      </c>
      <c r="F93" s="60">
        <f t="shared" si="4"/>
        <v>-1.6997942729746904</v>
      </c>
      <c r="H93" s="47">
        <f t="shared" si="5"/>
        <v>0.99995580414580798</v>
      </c>
      <c r="I93" s="47">
        <f t="shared" si="6"/>
        <v>2.9848832736613314E-2</v>
      </c>
      <c r="J93" s="45">
        <f t="shared" si="7"/>
        <v>-3.4840891724014981E-3</v>
      </c>
      <c r="K93" s="45">
        <f t="shared" si="8"/>
        <v>-1.7098304520377088</v>
      </c>
      <c r="L93" s="45">
        <f t="shared" si="9"/>
        <v>-1.7098304520377088</v>
      </c>
      <c r="N93" s="60">
        <v>1</v>
      </c>
      <c r="O93" s="60">
        <f t="shared" si="10"/>
        <v>2.9673680818002458E-2</v>
      </c>
      <c r="P93" s="60">
        <f t="shared" si="11"/>
        <v>-3.8223990035816469E-3</v>
      </c>
      <c r="Q93" s="60">
        <f t="shared" si="12"/>
        <v>-1.6997280489396769</v>
      </c>
    </row>
    <row r="94" spans="1:17" x14ac:dyDescent="0.25">
      <c r="A94" s="59">
        <f t="shared" si="17"/>
        <v>8000</v>
      </c>
      <c r="B94" s="45">
        <f t="shared" si="0"/>
        <v>50240</v>
      </c>
      <c r="C94" s="60">
        <f t="shared" si="1"/>
        <v>0.99994908356419454</v>
      </c>
      <c r="D94" s="60">
        <f t="shared" si="2"/>
        <v>3.3912778077717094E-2</v>
      </c>
      <c r="E94" s="45">
        <f t="shared" si="3"/>
        <v>-4.550091176061948E-3</v>
      </c>
      <c r="F94" s="60">
        <f t="shared" si="4"/>
        <v>-1.9424707935802386</v>
      </c>
      <c r="H94" s="47">
        <f t="shared" si="5"/>
        <v>0.99994227480268805</v>
      </c>
      <c r="I94" s="47">
        <f t="shared" si="6"/>
        <v>3.4112949157860104E-2</v>
      </c>
      <c r="J94" s="45">
        <f t="shared" si="7"/>
        <v>-4.5500911760638779E-3</v>
      </c>
      <c r="K94" s="45">
        <f t="shared" si="8"/>
        <v>-1.9539407129289292</v>
      </c>
      <c r="L94" s="45">
        <f t="shared" si="9"/>
        <v>-1.9539407129289292</v>
      </c>
      <c r="N94" s="60">
        <v>1</v>
      </c>
      <c r="O94" s="60">
        <f t="shared" si="10"/>
        <v>3.3912778077717094E-2</v>
      </c>
      <c r="P94" s="60">
        <f t="shared" si="11"/>
        <v>-4.9918488965772752E-3</v>
      </c>
      <c r="Q94" s="60">
        <f t="shared" si="12"/>
        <v>-1.9423719656484033</v>
      </c>
    </row>
    <row r="95" spans="1:17" x14ac:dyDescent="0.25">
      <c r="A95" s="59">
        <f t="shared" si="17"/>
        <v>9000</v>
      </c>
      <c r="B95" s="45">
        <f t="shared" si="0"/>
        <v>56520</v>
      </c>
      <c r="C95" s="60">
        <f t="shared" si="1"/>
        <v>0.99993555888593377</v>
      </c>
      <c r="D95" s="60">
        <f t="shared" si="2"/>
        <v>3.815187533743173E-2</v>
      </c>
      <c r="E95" s="45">
        <f t="shared" si="3"/>
        <v>-5.7579120443030634E-3</v>
      </c>
      <c r="F95" s="60">
        <f t="shared" si="4"/>
        <v>-2.1850868815321509</v>
      </c>
      <c r="H95" s="47">
        <f t="shared" si="5"/>
        <v>0.999926941547152</v>
      </c>
      <c r="I95" s="47">
        <f t="shared" si="6"/>
        <v>3.8377064562656278E-2</v>
      </c>
      <c r="J95" s="45">
        <f t="shared" si="7"/>
        <v>-5.7579120443049933E-3</v>
      </c>
      <c r="K95" s="45">
        <f t="shared" si="8"/>
        <v>-2.1979905413343399</v>
      </c>
      <c r="L95" s="45">
        <f t="shared" si="9"/>
        <v>-2.1979905413343399</v>
      </c>
      <c r="N95" s="60">
        <v>1</v>
      </c>
      <c r="O95" s="60">
        <f t="shared" si="10"/>
        <v>3.815187533743173E-2</v>
      </c>
      <c r="P95" s="60">
        <f t="shared" si="11"/>
        <v>-6.3168448689553949E-3</v>
      </c>
      <c r="Q95" s="60">
        <f t="shared" si="12"/>
        <v>-2.1849462085696705</v>
      </c>
    </row>
    <row r="96" spans="1:17" x14ac:dyDescent="0.25">
      <c r="A96" s="59">
        <f t="shared" si="17"/>
        <v>10000</v>
      </c>
      <c r="B96" s="45">
        <f t="shared" si="0"/>
        <v>62800</v>
      </c>
      <c r="C96" s="60">
        <f t="shared" si="1"/>
        <v>0.99992044306905403</v>
      </c>
      <c r="D96" s="60">
        <f t="shared" si="2"/>
        <v>4.2390972597146373E-2</v>
      </c>
      <c r="E96" s="45">
        <f t="shared" si="3"/>
        <v>-7.1074339706853947E-3</v>
      </c>
      <c r="F96" s="60">
        <f t="shared" si="4"/>
        <v>-2.4276350204591703</v>
      </c>
      <c r="H96" s="47">
        <f t="shared" si="5"/>
        <v>0.99990980437919996</v>
      </c>
      <c r="I96" s="47">
        <f t="shared" si="6"/>
        <v>4.2641178823945511E-2</v>
      </c>
      <c r="J96" s="45">
        <f t="shared" si="7"/>
        <v>-7.1074339706853947E-3</v>
      </c>
      <c r="K96" s="45">
        <f t="shared" si="8"/>
        <v>-2.4419724209036695</v>
      </c>
      <c r="L96" s="45">
        <f t="shared" si="9"/>
        <v>-2.4419724209036695</v>
      </c>
      <c r="N96" s="60">
        <v>1</v>
      </c>
      <c r="O96" s="60">
        <f t="shared" si="10"/>
        <v>4.2390972597146373E-2</v>
      </c>
      <c r="P96" s="60">
        <f t="shared" si="11"/>
        <v>-7.7972444977166423E-3</v>
      </c>
      <c r="Q96" s="60">
        <f t="shared" si="12"/>
        <v>-2.4274421162921689</v>
      </c>
    </row>
    <row r="97" spans="1:17" x14ac:dyDescent="0.25">
      <c r="A97" s="59">
        <f>10000+A96</f>
        <v>20000</v>
      </c>
      <c r="B97" s="45">
        <f t="shared" si="0"/>
        <v>125600</v>
      </c>
      <c r="C97" s="60">
        <f t="shared" si="1"/>
        <v>0.99968177227621602</v>
      </c>
      <c r="D97" s="60">
        <f t="shared" si="2"/>
        <v>8.4781945194292746E-2</v>
      </c>
      <c r="E97" s="45">
        <f t="shared" si="3"/>
        <v>-2.8360539053225872E-2</v>
      </c>
      <c r="F97" s="60">
        <f t="shared" si="4"/>
        <v>-4.8477369530338317</v>
      </c>
      <c r="H97" s="47">
        <f t="shared" si="5"/>
        <v>0.99963921751679996</v>
      </c>
      <c r="I97" s="47">
        <f t="shared" si="6"/>
        <v>8.5282230591564034E-2</v>
      </c>
      <c r="J97" s="45">
        <f t="shared" si="7"/>
        <v>-2.8360539053348743E-2</v>
      </c>
      <c r="K97" s="45">
        <f t="shared" si="8"/>
        <v>-4.8764117749061446</v>
      </c>
      <c r="L97" s="45">
        <f t="shared" si="9"/>
        <v>-4.8764117749061446</v>
      </c>
      <c r="N97" s="60">
        <v>1</v>
      </c>
      <c r="O97" s="60">
        <f t="shared" si="10"/>
        <v>8.4781945194292746E-2</v>
      </c>
      <c r="P97" s="60">
        <f t="shared" si="11"/>
        <v>-3.1105334032918326E-2</v>
      </c>
      <c r="Q97" s="60">
        <f t="shared" si="12"/>
        <v>-4.8462016166689557</v>
      </c>
    </row>
    <row r="98" spans="1:17" x14ac:dyDescent="0.25">
      <c r="A98" s="59">
        <f t="shared" ref="A98:A105" si="18">10000+A97</f>
        <v>30000</v>
      </c>
      <c r="B98" s="45">
        <f t="shared" si="0"/>
        <v>188400</v>
      </c>
      <c r="C98" s="60">
        <f t="shared" si="1"/>
        <v>0.99928398762148596</v>
      </c>
      <c r="D98" s="60">
        <f t="shared" si="2"/>
        <v>0.12717291779143911</v>
      </c>
      <c r="E98" s="45">
        <f t="shared" si="3"/>
        <v>-6.3553959948277908E-2</v>
      </c>
      <c r="F98" s="60">
        <f t="shared" si="4"/>
        <v>-7.2529187330007838</v>
      </c>
      <c r="H98" s="47">
        <f t="shared" si="5"/>
        <v>0.99918823941279999</v>
      </c>
      <c r="I98" s="47">
        <f t="shared" si="6"/>
        <v>0.12792302824652863</v>
      </c>
      <c r="J98" s="45">
        <f t="shared" si="7"/>
        <v>-6.3553959949677719E-2</v>
      </c>
      <c r="K98" s="45">
        <f t="shared" si="8"/>
        <v>-7.2959310183030448</v>
      </c>
      <c r="L98" s="45">
        <f t="shared" si="9"/>
        <v>-7.2959310183030448</v>
      </c>
      <c r="N98" s="60">
        <v>1</v>
      </c>
      <c r="O98" s="60">
        <f t="shared" si="10"/>
        <v>0.12717291779143911</v>
      </c>
      <c r="P98" s="60">
        <f t="shared" si="11"/>
        <v>-6.9676304687078139E-2</v>
      </c>
      <c r="Q98" s="60">
        <f t="shared" si="12"/>
        <v>-7.2477807922175135</v>
      </c>
    </row>
    <row r="99" spans="1:17" x14ac:dyDescent="0.25">
      <c r="A99" s="59">
        <f t="shared" si="18"/>
        <v>40000</v>
      </c>
      <c r="B99" s="45">
        <f t="shared" si="0"/>
        <v>251200</v>
      </c>
      <c r="C99" s="60">
        <f t="shared" si="1"/>
        <v>0.99872708910486385</v>
      </c>
      <c r="D99" s="60">
        <f t="shared" si="2"/>
        <v>0.16956389038858549</v>
      </c>
      <c r="E99" s="45">
        <f t="shared" si="3"/>
        <v>-0.11235273836555421</v>
      </c>
      <c r="F99" s="60">
        <f t="shared" si="4"/>
        <v>-9.6360783363884597</v>
      </c>
      <c r="H99" s="47">
        <f t="shared" si="5"/>
        <v>0.99855687006719995</v>
      </c>
      <c r="I99" s="47">
        <f t="shared" si="6"/>
        <v>0.17056344473251228</v>
      </c>
      <c r="J99" s="45">
        <f t="shared" si="7"/>
        <v>-0.11235273837332529</v>
      </c>
      <c r="K99" s="45">
        <f t="shared" si="8"/>
        <v>-9.6934281482101134</v>
      </c>
      <c r="L99" s="45">
        <f t="shared" si="9"/>
        <v>-9.6934281482101134</v>
      </c>
      <c r="N99" s="60">
        <v>1</v>
      </c>
      <c r="O99" s="60">
        <f t="shared" si="10"/>
        <v>0.16956389038858549</v>
      </c>
      <c r="P99" s="60">
        <f t="shared" si="11"/>
        <v>-0.12310655774581494</v>
      </c>
      <c r="Q99" s="60">
        <f t="shared" si="12"/>
        <v>-9.6240420127868962</v>
      </c>
    </row>
    <row r="100" spans="1:17" x14ac:dyDescent="0.25">
      <c r="A100" s="59">
        <f t="shared" si="18"/>
        <v>50000</v>
      </c>
      <c r="B100" s="45">
        <f t="shared" si="0"/>
        <v>314000</v>
      </c>
      <c r="C100" s="60">
        <f t="shared" si="1"/>
        <v>0.99801107672634981</v>
      </c>
      <c r="D100" s="60">
        <f t="shared" si="2"/>
        <v>0.21195486298573185</v>
      </c>
      <c r="E100" s="45">
        <f t="shared" si="3"/>
        <v>-0.17430275557620284</v>
      </c>
      <c r="F100" s="60">
        <f t="shared" si="4"/>
        <v>-11.990524405565539</v>
      </c>
      <c r="H100" s="47">
        <f t="shared" si="5"/>
        <v>0.99774510947999995</v>
      </c>
      <c r="I100" s="47">
        <f t="shared" si="6"/>
        <v>0.21320335299318804</v>
      </c>
      <c r="J100" s="45">
        <f t="shared" si="7"/>
        <v>-0.17430275560543373</v>
      </c>
      <c r="K100" s="45">
        <f t="shared" si="8"/>
        <v>-12.062211828180144</v>
      </c>
      <c r="L100" s="45">
        <f t="shared" si="9"/>
        <v>-12.062211828180144</v>
      </c>
      <c r="N100" s="60">
        <v>1</v>
      </c>
      <c r="O100" s="60">
        <f t="shared" si="10"/>
        <v>0.21195486298573185</v>
      </c>
      <c r="P100" s="60">
        <f t="shared" si="11"/>
        <v>-0.19085063319826634</v>
      </c>
      <c r="Q100" s="60">
        <f t="shared" si="12"/>
        <v>-11.967364371255416</v>
      </c>
    </row>
    <row r="101" spans="1:17" x14ac:dyDescent="0.25">
      <c r="A101" s="59">
        <f t="shared" si="18"/>
        <v>60000</v>
      </c>
      <c r="B101" s="45">
        <f t="shared" si="0"/>
        <v>376800</v>
      </c>
      <c r="C101" s="60">
        <f t="shared" si="1"/>
        <v>0.99713595048594372</v>
      </c>
      <c r="D101" s="60">
        <f t="shared" si="2"/>
        <v>0.25434583558287821</v>
      </c>
      <c r="E101" s="45">
        <f t="shared" si="3"/>
        <v>-0.24884439393321964</v>
      </c>
      <c r="F101" s="60">
        <f t="shared" si="4"/>
        <v>-14.310083248146514</v>
      </c>
      <c r="H101" s="47">
        <f t="shared" si="5"/>
        <v>0.99675295765119998</v>
      </c>
      <c r="I101" s="47">
        <f t="shared" si="6"/>
        <v>0.2558426259722289</v>
      </c>
      <c r="J101" s="45">
        <f t="shared" si="7"/>
        <v>-0.24884439401902159</v>
      </c>
      <c r="K101" s="45">
        <f t="shared" si="8"/>
        <v>-14.396108387130385</v>
      </c>
      <c r="L101" s="45">
        <f t="shared" si="9"/>
        <v>-14.396108387130385</v>
      </c>
      <c r="N101" s="60">
        <v>1</v>
      </c>
      <c r="O101" s="60">
        <f t="shared" si="10"/>
        <v>0.25434583558287821</v>
      </c>
      <c r="P101" s="60">
        <f t="shared" si="11"/>
        <v>-0.27223910912145166</v>
      </c>
      <c r="Q101" s="60">
        <f t="shared" si="12"/>
        <v>-14.270774749820056</v>
      </c>
    </row>
    <row r="102" spans="1:17" x14ac:dyDescent="0.25">
      <c r="A102" s="59">
        <f t="shared" si="18"/>
        <v>70000</v>
      </c>
      <c r="B102" s="45">
        <f t="shared" si="0"/>
        <v>439600</v>
      </c>
      <c r="C102" s="60">
        <f t="shared" si="1"/>
        <v>0.9961017103836457</v>
      </c>
      <c r="D102" s="60">
        <f t="shared" si="2"/>
        <v>0.29673680818002457</v>
      </c>
      <c r="E102" s="45">
        <f t="shared" si="3"/>
        <v>-0.335328585748358</v>
      </c>
      <c r="F102" s="60">
        <f t="shared" si="4"/>
        <v>-16.589183503233272</v>
      </c>
      <c r="H102" s="47">
        <f t="shared" si="5"/>
        <v>0.99558041458080004</v>
      </c>
      <c r="I102" s="47">
        <f t="shared" si="6"/>
        <v>0.29848113661330794</v>
      </c>
      <c r="J102" s="45">
        <f t="shared" si="7"/>
        <v>-0.3353285859604524</v>
      </c>
      <c r="K102" s="45">
        <f t="shared" si="8"/>
        <v>-16.689546485598566</v>
      </c>
      <c r="L102" s="45">
        <f t="shared" si="9"/>
        <v>-16.689546485598566</v>
      </c>
      <c r="N102" s="60">
        <v>1</v>
      </c>
      <c r="O102" s="60">
        <f t="shared" si="10"/>
        <v>0.29673680818002457</v>
      </c>
      <c r="P102" s="60">
        <f t="shared" si="11"/>
        <v>-0.36649944294839853</v>
      </c>
      <c r="Q102" s="60">
        <f t="shared" si="12"/>
        <v>-16.528048541591495</v>
      </c>
    </row>
    <row r="103" spans="1:17" x14ac:dyDescent="0.25">
      <c r="A103" s="59">
        <f t="shared" si="18"/>
        <v>80000</v>
      </c>
      <c r="B103" s="45">
        <f t="shared" si="0"/>
        <v>502400</v>
      </c>
      <c r="C103" s="60">
        <f t="shared" si="1"/>
        <v>0.99490835641945552</v>
      </c>
      <c r="D103" s="60">
        <f t="shared" si="2"/>
        <v>0.33912778077717098</v>
      </c>
      <c r="E103" s="45">
        <f t="shared" si="3"/>
        <v>-0.43303433762109822</v>
      </c>
      <c r="F103" s="60">
        <f t="shared" si="4"/>
        <v>-18.822916479964046</v>
      </c>
      <c r="H103" s="47">
        <f t="shared" si="5"/>
        <v>0.99422748026880003</v>
      </c>
      <c r="I103" s="47">
        <f t="shared" si="6"/>
        <v>0.3411187578600981</v>
      </c>
      <c r="J103" s="45">
        <f t="shared" si="7"/>
        <v>-0.43303433808317221</v>
      </c>
      <c r="K103" s="45">
        <f t="shared" si="8"/>
        <v>-18.937617454298515</v>
      </c>
      <c r="L103" s="45">
        <f t="shared" si="9"/>
        <v>-18.937617454298515</v>
      </c>
      <c r="N103" s="60">
        <v>1</v>
      </c>
      <c r="O103" s="60">
        <f t="shared" si="10"/>
        <v>0.33912778077717098</v>
      </c>
      <c r="P103" s="60">
        <f t="shared" si="11"/>
        <v>-0.47277847722697619</v>
      </c>
      <c r="Q103" s="60">
        <f t="shared" si="12"/>
        <v>-18.73377777125776</v>
      </c>
    </row>
    <row r="104" spans="1:17" x14ac:dyDescent="0.25">
      <c r="A104" s="59">
        <f t="shared" si="18"/>
        <v>90000</v>
      </c>
      <c r="B104" s="45">
        <f t="shared" si="0"/>
        <v>565200</v>
      </c>
      <c r="C104" s="60">
        <f t="shared" si="1"/>
        <v>0.9935558885933734</v>
      </c>
      <c r="D104" s="60">
        <f t="shared" si="2"/>
        <v>0.38151875337431734</v>
      </c>
      <c r="E104" s="45">
        <f t="shared" si="3"/>
        <v>-0.5411868209400309</v>
      </c>
      <c r="F104" s="60">
        <f t="shared" si="4"/>
        <v>-21.007071867773369</v>
      </c>
      <c r="H104" s="47">
        <f t="shared" si="5"/>
        <v>0.99269415471519995</v>
      </c>
      <c r="I104" s="47">
        <f t="shared" si="6"/>
        <v>0.38375536265627241</v>
      </c>
      <c r="J104" s="45">
        <f t="shared" si="7"/>
        <v>-0.54118682185374645</v>
      </c>
      <c r="K104" s="45">
        <f t="shared" si="8"/>
        <v>-21.136111004379334</v>
      </c>
      <c r="L104" s="45">
        <f t="shared" si="9"/>
        <v>-21.136111004379334</v>
      </c>
      <c r="N104" s="60">
        <v>1</v>
      </c>
      <c r="O104" s="60">
        <f t="shared" si="10"/>
        <v>0.38151875337431734</v>
      </c>
      <c r="P104" s="60">
        <f t="shared" si="11"/>
        <v>-0.59016536329236968</v>
      </c>
      <c r="Q104" s="60">
        <f t="shared" si="12"/>
        <v>-20.883406783062778</v>
      </c>
    </row>
    <row r="105" spans="1:17" x14ac:dyDescent="0.25">
      <c r="A105" s="59">
        <f t="shared" si="18"/>
        <v>100000</v>
      </c>
      <c r="B105" s="45">
        <f t="shared" si="0"/>
        <v>628000</v>
      </c>
      <c r="C105" s="60">
        <f t="shared" si="1"/>
        <v>0.99204430690539935</v>
      </c>
      <c r="D105" s="60">
        <f t="shared" si="2"/>
        <v>0.4239097259714637</v>
      </c>
      <c r="E105" s="45">
        <f t="shared" si="3"/>
        <v>-0.6589751939583488</v>
      </c>
      <c r="F105" s="60">
        <f t="shared" si="4"/>
        <v>-23.138150024403103</v>
      </c>
      <c r="H105" s="47">
        <f t="shared" si="5"/>
        <v>0.99098043792000001</v>
      </c>
      <c r="I105" s="47">
        <f t="shared" si="6"/>
        <v>0.42639082394550409</v>
      </c>
      <c r="J105" s="45">
        <f t="shared" si="7"/>
        <v>-0.6589751956316614</v>
      </c>
      <c r="K105" s="45">
        <f t="shared" si="8"/>
        <v>-23.281527515429158</v>
      </c>
      <c r="L105" s="45">
        <f t="shared" si="9"/>
        <v>-23.281527515429158</v>
      </c>
      <c r="N105" s="60">
        <v>1</v>
      </c>
      <c r="O105" s="60">
        <f t="shared" si="10"/>
        <v>0.4239097259714637</v>
      </c>
      <c r="P105" s="60">
        <f t="shared" si="11"/>
        <v>-0.71771379065183094</v>
      </c>
      <c r="Q105" s="60">
        <f t="shared" si="12"/>
        <v>-22.973237745413257</v>
      </c>
    </row>
    <row r="106" spans="1:17" x14ac:dyDescent="0.25">
      <c r="A106" s="59">
        <f>100000+A105</f>
        <v>200000</v>
      </c>
      <c r="B106" s="45">
        <f t="shared" si="0"/>
        <v>1256000</v>
      </c>
      <c r="C106" s="60">
        <f t="shared" si="1"/>
        <v>0.96817722762159719</v>
      </c>
      <c r="D106" s="60">
        <f t="shared" si="2"/>
        <v>0.8478194519429274</v>
      </c>
      <c r="E106" s="45">
        <f t="shared" si="3"/>
        <v>-2.1910359378143616</v>
      </c>
      <c r="F106" s="60">
        <f t="shared" si="4"/>
        <v>-41.209401128033235</v>
      </c>
      <c r="H106" s="47">
        <f t="shared" si="5"/>
        <v>0.96392175168000005</v>
      </c>
      <c r="I106" s="47">
        <f t="shared" si="6"/>
        <v>0.85265459156403212</v>
      </c>
      <c r="J106" s="45">
        <f t="shared" si="7"/>
        <v>-2.1910360130720332</v>
      </c>
      <c r="K106" s="45">
        <f t="shared" si="8"/>
        <v>-41.49617759946095</v>
      </c>
      <c r="L106" s="45">
        <f t="shared" si="9"/>
        <v>-41.49617759946095</v>
      </c>
      <c r="N106" s="60">
        <v>1</v>
      </c>
      <c r="O106" s="60">
        <f t="shared" si="10"/>
        <v>0.8478194519429274</v>
      </c>
      <c r="P106" s="60">
        <f t="shared" si="11"/>
        <v>-2.3522479496568178</v>
      </c>
      <c r="Q106" s="60">
        <f t="shared" si="12"/>
        <v>-40.293114926361362</v>
      </c>
    </row>
    <row r="107" spans="1:17" x14ac:dyDescent="0.25">
      <c r="A107" s="59">
        <f t="shared" ref="A107:A114" si="19">100000+A106</f>
        <v>300000</v>
      </c>
      <c r="B107" s="45">
        <f t="shared" si="0"/>
        <v>1884000</v>
      </c>
      <c r="C107" s="60">
        <f t="shared" si="1"/>
        <v>0.92839876214859374</v>
      </c>
      <c r="D107" s="60">
        <f t="shared" si="2"/>
        <v>1.2717291779143911</v>
      </c>
      <c r="E107" s="45">
        <f t="shared" si="3"/>
        <v>-3.9431495522707758</v>
      </c>
      <c r="F107" s="60">
        <f t="shared" si="4"/>
        <v>-53.87107300476054</v>
      </c>
      <c r="H107" s="47">
        <f t="shared" si="5"/>
        <v>0.91882394128</v>
      </c>
      <c r="I107" s="47">
        <f t="shared" si="6"/>
        <v>1.2786642465286082</v>
      </c>
      <c r="J107" s="45">
        <f t="shared" si="7"/>
        <v>-3.9431501249177208</v>
      </c>
      <c r="K107" s="45">
        <f t="shared" si="8"/>
        <v>-54.301292053820369</v>
      </c>
      <c r="L107" s="45">
        <f t="shared" si="9"/>
        <v>-54.301292053820369</v>
      </c>
      <c r="N107" s="60">
        <v>1</v>
      </c>
      <c r="O107" s="60">
        <f t="shared" si="10"/>
        <v>1.2717291779143911</v>
      </c>
      <c r="P107" s="60">
        <f t="shared" si="11"/>
        <v>-4.1785269242471381</v>
      </c>
      <c r="Q107" s="60">
        <f t="shared" si="12"/>
        <v>-51.822462869802308</v>
      </c>
    </row>
    <row r="108" spans="1:17" x14ac:dyDescent="0.25">
      <c r="A108" s="59">
        <f t="shared" si="19"/>
        <v>400000</v>
      </c>
      <c r="B108" s="45">
        <f t="shared" si="0"/>
        <v>2512000</v>
      </c>
      <c r="C108" s="60">
        <f t="shared" si="1"/>
        <v>0.87270891048638888</v>
      </c>
      <c r="D108" s="60">
        <f t="shared" si="2"/>
        <v>1.6956389038858548</v>
      </c>
      <c r="E108" s="45">
        <f t="shared" si="3"/>
        <v>-5.6072086747729273</v>
      </c>
      <c r="F108" s="60">
        <f t="shared" si="4"/>
        <v>-62.767944198083256</v>
      </c>
      <c r="H108" s="47">
        <f t="shared" si="5"/>
        <v>0.85568700671999998</v>
      </c>
      <c r="I108" s="47">
        <f t="shared" si="6"/>
        <v>1.7042927325122563</v>
      </c>
      <c r="J108" s="45">
        <f t="shared" si="7"/>
        <v>-5.6072108681503749</v>
      </c>
      <c r="K108" s="45">
        <f t="shared" si="8"/>
        <v>-63.341671242647571</v>
      </c>
      <c r="L108" s="45">
        <f t="shared" si="9"/>
        <v>-63.341671242647571</v>
      </c>
      <c r="N108" s="60">
        <v>1</v>
      </c>
      <c r="O108" s="60">
        <f t="shared" si="10"/>
        <v>1.6956389038858548</v>
      </c>
      <c r="P108" s="60">
        <f t="shared" si="11"/>
        <v>-5.8829314559606702</v>
      </c>
      <c r="Q108" s="60">
        <f t="shared" si="12"/>
        <v>-59.471851876948101</v>
      </c>
    </row>
    <row r="109" spans="1:17" x14ac:dyDescent="0.25">
      <c r="A109" s="59">
        <f t="shared" si="19"/>
        <v>500000</v>
      </c>
      <c r="B109" s="45">
        <f t="shared" si="0"/>
        <v>3140000</v>
      </c>
      <c r="C109" s="60">
        <f t="shared" si="1"/>
        <v>0.80110767263498261</v>
      </c>
      <c r="D109" s="60">
        <f t="shared" si="2"/>
        <v>2.1195486298573183</v>
      </c>
      <c r="E109" s="45">
        <f t="shared" si="3"/>
        <v>-7.1047784898415864</v>
      </c>
      <c r="F109" s="60">
        <f t="shared" si="4"/>
        <v>-69.29738427743743</v>
      </c>
      <c r="H109" s="47">
        <f t="shared" si="5"/>
        <v>0.77451094799999998</v>
      </c>
      <c r="I109" s="47">
        <f t="shared" si="6"/>
        <v>2.1294129931880001</v>
      </c>
      <c r="J109" s="45">
        <f t="shared" si="7"/>
        <v>-7.1047844165871599</v>
      </c>
      <c r="K109" s="45">
        <f t="shared" si="8"/>
        <v>-70.014705847954104</v>
      </c>
      <c r="L109" s="45">
        <f t="shared" si="9"/>
        <v>-70.014705847954104</v>
      </c>
      <c r="N109" s="60">
        <v>1</v>
      </c>
      <c r="O109" s="60">
        <f t="shared" si="10"/>
        <v>2.1195486298573183</v>
      </c>
      <c r="P109" s="60">
        <f t="shared" si="11"/>
        <v>-7.3976898978468144</v>
      </c>
      <c r="Q109" s="60">
        <f t="shared" si="12"/>
        <v>-64.744038350230355</v>
      </c>
    </row>
    <row r="110" spans="1:17" x14ac:dyDescent="0.25">
      <c r="A110" s="59">
        <f t="shared" si="19"/>
        <v>600000</v>
      </c>
      <c r="B110" s="45">
        <f t="shared" si="0"/>
        <v>3768000</v>
      </c>
      <c r="C110" s="60">
        <f t="shared" si="1"/>
        <v>0.71359504859437495</v>
      </c>
      <c r="D110" s="60">
        <f t="shared" si="2"/>
        <v>2.5434583558287822</v>
      </c>
      <c r="E110" s="45">
        <f t="shared" si="3"/>
        <v>-8.4375575374531113</v>
      </c>
      <c r="F110" s="60">
        <f t="shared" si="4"/>
        <v>-74.330147515328335</v>
      </c>
      <c r="H110" s="47">
        <f t="shared" si="5"/>
        <v>0.67529576512</v>
      </c>
      <c r="I110" s="47">
        <f t="shared" si="6"/>
        <v>2.5538979722288646</v>
      </c>
      <c r="J110" s="45">
        <f t="shared" si="7"/>
        <v>-8.4375705578883196</v>
      </c>
      <c r="K110" s="45">
        <f t="shared" si="8"/>
        <v>-75.191170458679323</v>
      </c>
      <c r="L110" s="45">
        <f t="shared" si="9"/>
        <v>-75.191170458679323</v>
      </c>
      <c r="N110" s="60">
        <v>1</v>
      </c>
      <c r="O110" s="60">
        <f t="shared" si="10"/>
        <v>2.5434583558287822</v>
      </c>
      <c r="P110" s="60">
        <f t="shared" si="11"/>
        <v>-8.7327294935452731</v>
      </c>
      <c r="Q110" s="60">
        <f t="shared" si="12"/>
        <v>-68.538982775180514</v>
      </c>
    </row>
    <row r="111" spans="1:17" x14ac:dyDescent="0.25">
      <c r="A111" s="59">
        <f t="shared" si="19"/>
        <v>700000</v>
      </c>
      <c r="B111" s="45">
        <f t="shared" si="0"/>
        <v>4396000</v>
      </c>
      <c r="C111" s="60">
        <f t="shared" si="1"/>
        <v>0.61017103836456588</v>
      </c>
      <c r="D111" s="60">
        <f t="shared" si="2"/>
        <v>2.9673680818002457</v>
      </c>
      <c r="E111" s="45">
        <f t="shared" si="3"/>
        <v>-9.6272827490408694</v>
      </c>
      <c r="F111" s="60">
        <f t="shared" si="4"/>
        <v>-78.382713347260008</v>
      </c>
      <c r="H111" s="47">
        <f t="shared" si="5"/>
        <v>0.55804145808000005</v>
      </c>
      <c r="I111" s="47">
        <f t="shared" si="6"/>
        <v>2.9776206133078724</v>
      </c>
      <c r="J111" s="45">
        <f t="shared" si="7"/>
        <v>-9.6273077141299552</v>
      </c>
      <c r="K111" s="45">
        <f t="shared" si="8"/>
        <v>-79.38756392849659</v>
      </c>
      <c r="L111" s="45">
        <f t="shared" si="9"/>
        <v>-79.38756392849659</v>
      </c>
      <c r="N111" s="60">
        <v>1</v>
      </c>
      <c r="O111" s="60">
        <f t="shared" si="10"/>
        <v>2.9673680818002457</v>
      </c>
      <c r="P111" s="60">
        <f t="shared" si="11"/>
        <v>-9.9145970461368869</v>
      </c>
      <c r="Q111" s="60">
        <f t="shared" si="12"/>
        <v>-71.378341447116227</v>
      </c>
    </row>
    <row r="112" spans="1:17" x14ac:dyDescent="0.25">
      <c r="A112" s="59">
        <f t="shared" si="19"/>
        <v>800000</v>
      </c>
      <c r="B112" s="45">
        <f t="shared" si="0"/>
        <v>5024000</v>
      </c>
      <c r="C112" s="60">
        <f t="shared" si="1"/>
        <v>0.4908356419455554</v>
      </c>
      <c r="D112" s="60">
        <f t="shared" si="2"/>
        <v>3.3912778077717096</v>
      </c>
      <c r="E112" s="45">
        <f t="shared" si="3"/>
        <v>-10.697304176521731</v>
      </c>
      <c r="F112" s="60">
        <f t="shared" si="4"/>
        <v>-81.766911316842922</v>
      </c>
      <c r="H112" s="47">
        <f t="shared" si="5"/>
        <v>0.42274802688000002</v>
      </c>
      <c r="I112" s="47">
        <f t="shared" si="6"/>
        <v>3.4004538600980485</v>
      </c>
      <c r="J112" s="45">
        <f t="shared" si="7"/>
        <v>-10.697347655740641</v>
      </c>
      <c r="K112" s="45">
        <f t="shared" si="8"/>
        <v>-82.915734196577318</v>
      </c>
      <c r="L112" s="45">
        <f t="shared" si="9"/>
        <v>-82.915734196577318</v>
      </c>
      <c r="N112" s="60">
        <v>1</v>
      </c>
      <c r="O112" s="60">
        <f t="shared" si="10"/>
        <v>3.3912778077717096</v>
      </c>
      <c r="P112" s="60">
        <f t="shared" si="11"/>
        <v>-10.969365969052181</v>
      </c>
      <c r="Q112" s="60">
        <f t="shared" si="12"/>
        <v>-73.572746754319056</v>
      </c>
    </row>
    <row r="113" spans="1:17" x14ac:dyDescent="0.25">
      <c r="A113" s="59">
        <f t="shared" si="19"/>
        <v>900000</v>
      </c>
      <c r="B113" s="45">
        <f t="shared" si="0"/>
        <v>5652000</v>
      </c>
      <c r="C113" s="60">
        <f t="shared" si="1"/>
        <v>0.35558885933734352</v>
      </c>
      <c r="D113" s="60">
        <f t="shared" si="2"/>
        <v>3.8151875337431731</v>
      </c>
      <c r="E113" s="45">
        <f t="shared" si="3"/>
        <v>-11.66788158638256</v>
      </c>
      <c r="F113" s="60">
        <f t="shared" si="4"/>
        <v>-84.677712812016736</v>
      </c>
      <c r="H113" s="47">
        <f t="shared" si="5"/>
        <v>0.26941547152000012</v>
      </c>
      <c r="I113" s="47">
        <f t="shared" si="6"/>
        <v>3.8222706562724165</v>
      </c>
      <c r="J113" s="45">
        <f t="shared" si="7"/>
        <v>-11.667952078048851</v>
      </c>
      <c r="K113" s="45">
        <f t="shared" si="8"/>
        <v>-85.970669901126058</v>
      </c>
      <c r="L113" s="45">
        <f t="shared" si="9"/>
        <v>-85.970669901126058</v>
      </c>
      <c r="N113" s="60">
        <v>1</v>
      </c>
      <c r="O113" s="60">
        <f t="shared" si="10"/>
        <v>3.8151875337431731</v>
      </c>
      <c r="P113" s="60">
        <f t="shared" si="11"/>
        <v>-11.918883282316843</v>
      </c>
      <c r="Q113" s="60">
        <f t="shared" si="12"/>
        <v>-75.314807404996358</v>
      </c>
    </row>
    <row r="114" spans="1:17" x14ac:dyDescent="0.25">
      <c r="A114" s="59">
        <f t="shared" si="19"/>
        <v>1000000</v>
      </c>
      <c r="B114" s="45">
        <f t="shared" si="0"/>
        <v>6280000</v>
      </c>
      <c r="C114" s="60">
        <f t="shared" si="1"/>
        <v>0.20443069053993035</v>
      </c>
      <c r="D114" s="60">
        <f t="shared" si="2"/>
        <v>4.2390972597146366</v>
      </c>
      <c r="E114" s="45">
        <f t="shared" si="3"/>
        <v>-12.555556086306634</v>
      </c>
      <c r="F114" s="60">
        <f t="shared" si="4"/>
        <v>-87.241619983754831</v>
      </c>
      <c r="H114" s="47">
        <f t="shared" si="5"/>
        <v>9.8043792000000018E-2</v>
      </c>
      <c r="I114" s="47">
        <f t="shared" si="6"/>
        <v>4.2429439455039999</v>
      </c>
      <c r="J114" s="45">
        <f t="shared" si="7"/>
        <v>-12.555664208136825</v>
      </c>
      <c r="K114" s="45">
        <f t="shared" si="8"/>
        <v>-88.678889187792478</v>
      </c>
      <c r="L114" s="45">
        <f t="shared" si="9"/>
        <v>-88.678889187792478</v>
      </c>
      <c r="N114" s="60">
        <v>1</v>
      </c>
      <c r="O114" s="60">
        <f t="shared" si="10"/>
        <v>4.2390972597146366</v>
      </c>
      <c r="P114" s="60">
        <f t="shared" si="11"/>
        <v>-12.780660849475209</v>
      </c>
      <c r="Q114" s="60">
        <f t="shared" si="12"/>
        <v>-76.728893017442061</v>
      </c>
    </row>
    <row r="115" spans="1:17" x14ac:dyDescent="0.25">
      <c r="A115" s="59">
        <v>2000000</v>
      </c>
      <c r="B115" s="45">
        <f t="shared" si="0"/>
        <v>12560000</v>
      </c>
      <c r="C115" s="60">
        <f t="shared" si="1"/>
        <v>-2.1822772378402786</v>
      </c>
      <c r="D115" s="60">
        <f t="shared" si="2"/>
        <v>8.4781945194292732</v>
      </c>
      <c r="E115" s="45">
        <f t="shared" si="3"/>
        <v>-18.84467488031737</v>
      </c>
      <c r="F115" s="60">
        <f t="shared" si="4"/>
        <v>-104.43760824780203</v>
      </c>
      <c r="H115" s="47">
        <f t="shared" si="5"/>
        <v>-2.6078248319999999</v>
      </c>
      <c r="I115" s="47">
        <f t="shared" si="6"/>
        <v>8.3588315640320001</v>
      </c>
      <c r="J115" s="45">
        <f t="shared" si="7"/>
        <v>-18.84630082433851</v>
      </c>
      <c r="K115" s="45">
        <f t="shared" si="8"/>
        <v>-107.33027132935001</v>
      </c>
      <c r="L115" s="45">
        <f t="shared" si="9"/>
        <v>-107.33027132935001</v>
      </c>
      <c r="N115" s="60">
        <v>1</v>
      </c>
      <c r="O115" s="60">
        <f t="shared" si="10"/>
        <v>8.4781945194292732</v>
      </c>
      <c r="P115" s="60">
        <f t="shared" si="11"/>
        <v>-18.62607066736355</v>
      </c>
      <c r="Q115" s="60">
        <f t="shared" si="12"/>
        <v>-83.275519796756171</v>
      </c>
    </row>
    <row r="116" spans="1:17" x14ac:dyDescent="0.25">
      <c r="A116" s="59">
        <v>3000000</v>
      </c>
      <c r="B116" s="45">
        <f t="shared" ref="B116" si="20">6.28*A116</f>
        <v>18840000</v>
      </c>
      <c r="C116" s="60">
        <f t="shared" ref="C116" si="21">1-B116*B116*$B$33</f>
        <v>-6.1601237851406276</v>
      </c>
      <c r="D116" s="60">
        <f t="shared" ref="D116" si="22">B116*$B$32</f>
        <v>12.717291779143912</v>
      </c>
      <c r="E116" s="45">
        <f t="shared" ref="E116" si="23">20*LOG(1/(SQRT(C116^2+D116^2)))</f>
        <v>-23.003272497570549</v>
      </c>
      <c r="F116" s="60">
        <f t="shared" ref="F116" si="24">-(180/3.1415)*ATAN2(C116,D116)</f>
        <v>-115.84848143120365</v>
      </c>
      <c r="H116" s="47">
        <f t="shared" ref="H116" si="25">1-$B$29*B116*B116</f>
        <v>-7.1176058720000004</v>
      </c>
      <c r="I116" s="47">
        <f t="shared" ref="I116" si="26">B116*$B$30-B116*B116*B116*$B$28</f>
        <v>12.220606528608002</v>
      </c>
      <c r="J116" s="45">
        <f t="shared" ref="J116" si="27">20*LOG(1/(SQRT(H116^2+I116^2)))</f>
        <v>-23.010376766936979</v>
      </c>
      <c r="K116" s="45">
        <f t="shared" ref="K116" si="28">-(180/3.1415)*ATAN2(H116,I116)</f>
        <v>-120.22120385297303</v>
      </c>
      <c r="L116" s="45">
        <f t="shared" ref="L116" si="29">IF(K116&gt;0,K116-360,K116)</f>
        <v>-120.22120385297303</v>
      </c>
      <c r="N116" s="60">
        <v>1</v>
      </c>
      <c r="O116" s="60">
        <f t="shared" ref="O116" si="30">$B$35*B116</f>
        <v>12.717291779143912</v>
      </c>
      <c r="P116" s="60">
        <f t="shared" ref="P116" si="31">20*LOG(1/(SQRT(N116^2+O116^2)))</f>
        <v>-22.114663172459625</v>
      </c>
      <c r="Q116" s="60">
        <f t="shared" ref="Q116" si="32">-(180/3.1415)*ATAN2(N116,O116)</f>
        <v>-85.506428848746708</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C52"/>
  <sheetViews>
    <sheetView topLeftCell="A7" workbookViewId="0">
      <selection activeCell="B18" sqref="B18"/>
    </sheetView>
  </sheetViews>
  <sheetFormatPr defaultRowHeight="15.75" x14ac:dyDescent="0.25"/>
  <cols>
    <col min="1" max="1" width="25.75" customWidth="1"/>
    <col min="2" max="2" width="18.5" customWidth="1"/>
    <col min="3" max="3" width="15.125" customWidth="1"/>
  </cols>
  <sheetData>
    <row r="3" spans="1:2" x14ac:dyDescent="0.25">
      <c r="A3" s="67" t="s">
        <v>188</v>
      </c>
    </row>
    <row r="4" spans="1:2" x14ac:dyDescent="0.25">
      <c r="A4" s="67" t="s">
        <v>187</v>
      </c>
    </row>
    <row r="6" spans="1:2" x14ac:dyDescent="0.25">
      <c r="A6" s="64" t="s">
        <v>225</v>
      </c>
      <c r="B6" s="173" t="s">
        <v>186</v>
      </c>
    </row>
    <row r="7" spans="1:2" x14ac:dyDescent="0.25">
      <c r="A7" s="65" t="s">
        <v>226</v>
      </c>
      <c r="B7" s="174"/>
    </row>
    <row r="8" spans="1:2" x14ac:dyDescent="0.25">
      <c r="A8" s="66" t="s">
        <v>227</v>
      </c>
      <c r="B8" s="175"/>
    </row>
    <row r="10" spans="1:2" x14ac:dyDescent="0.25">
      <c r="A10" t="s">
        <v>151</v>
      </c>
      <c r="B10" s="63">
        <f>IF(Main!B16="LM63615Q",1.5,IF(Main!B16="LM63625Q",2.5,3.25))</f>
        <v>3.25</v>
      </c>
    </row>
    <row r="14" spans="1:2" x14ac:dyDescent="0.25">
      <c r="A14" t="s">
        <v>34</v>
      </c>
      <c r="B14" s="63">
        <f>IF(B10=2.5,3.18,IF(B10=1.5,1.9,IF(B10=3.25,3.9,x)))</f>
        <v>3.9</v>
      </c>
    </row>
    <row r="15" spans="1:2" x14ac:dyDescent="0.25">
      <c r="A15" t="s">
        <v>35</v>
      </c>
      <c r="B15" s="63">
        <f>IF(B10=2.5,2.55,IF(B10=1.5,1.5,IF(B10=3.25,3.2,x)))</f>
        <v>3.2</v>
      </c>
    </row>
    <row r="18" spans="1:2" x14ac:dyDescent="0.25">
      <c r="A18" t="s">
        <v>37</v>
      </c>
      <c r="B18" s="102">
        <f>(Main!B18-Main!B19)*(Main!B19/Main!B18)/(Main!B30*0.000001*Main!B21*1000)</f>
        <v>0.42087542087542096</v>
      </c>
    </row>
    <row r="19" spans="1:2" x14ac:dyDescent="0.25">
      <c r="A19" t="s">
        <v>36</v>
      </c>
      <c r="B19" s="102">
        <f>Main!B20+0.5*Helper_calcs!B18</f>
        <v>2.7104377104377106</v>
      </c>
    </row>
    <row r="20" spans="1:2" x14ac:dyDescent="0.25">
      <c r="A20" t="s">
        <v>38</v>
      </c>
      <c r="B20" s="102">
        <f>Main!B20-0.5*Helper_calcs!B18</f>
        <v>2.2895622895622894</v>
      </c>
    </row>
    <row r="23" spans="1:2" x14ac:dyDescent="0.25">
      <c r="A23" t="s">
        <v>42</v>
      </c>
      <c r="B23" s="63">
        <f>IF(B10=1.5,2.25*loop_gain!B13,IF(Helper_calcs!B10=2.5,3.75*loop_gain!B13,4.2*loop_gain!B13))</f>
        <v>4.2</v>
      </c>
    </row>
    <row r="24" spans="1:2" x14ac:dyDescent="0.25">
      <c r="A24" t="s">
        <v>43</v>
      </c>
      <c r="B24" s="63">
        <f>IF(B10=1.5,0.72*loop_gain!B18*loop_gain!B13,IF(Helper_calcs!B10=2.5,1.2*loop_gain!B18*loop_gain!B13,1.34*loop_gain!B18*loop_gain!B13))</f>
        <v>2814000</v>
      </c>
    </row>
    <row r="27" spans="1:2" x14ac:dyDescent="0.25">
      <c r="A27" t="s">
        <v>198</v>
      </c>
      <c r="B27" s="99">
        <v>3.5</v>
      </c>
    </row>
    <row r="28" spans="1:2" x14ac:dyDescent="0.25">
      <c r="A28" t="s">
        <v>199</v>
      </c>
      <c r="B28" s="63">
        <f>IF(OR(B10=2.5,B10=1.5),36,32)</f>
        <v>32</v>
      </c>
    </row>
    <row r="30" spans="1:2" x14ac:dyDescent="0.25">
      <c r="A30" t="s">
        <v>207</v>
      </c>
      <c r="B30" s="99">
        <v>9.2999999999999999E-2</v>
      </c>
    </row>
    <row r="31" spans="1:2" x14ac:dyDescent="0.25">
      <c r="A31" t="s">
        <v>208</v>
      </c>
      <c r="B31" s="99">
        <v>6.0999999999999999E-2</v>
      </c>
    </row>
    <row r="34" spans="1:3" x14ac:dyDescent="0.25">
      <c r="A34" t="s">
        <v>200</v>
      </c>
      <c r="B34" s="100">
        <v>4.9999999999999998E-8</v>
      </c>
    </row>
    <row r="35" spans="1:3" x14ac:dyDescent="0.25">
      <c r="A35" t="s">
        <v>201</v>
      </c>
      <c r="B35" s="100">
        <v>9.9999999999999995E-8</v>
      </c>
    </row>
    <row r="36" spans="1:3" x14ac:dyDescent="0.25">
      <c r="A36" t="s">
        <v>202</v>
      </c>
      <c r="B36" s="100">
        <v>6.9999999999999999E-6</v>
      </c>
    </row>
    <row r="38" spans="1:3" x14ac:dyDescent="0.25">
      <c r="A38" t="s">
        <v>203</v>
      </c>
      <c r="B38" s="101">
        <f>B34*loop_gain!B18</f>
        <v>0.105</v>
      </c>
    </row>
    <row r="39" spans="1:3" x14ac:dyDescent="0.25">
      <c r="A39" t="s">
        <v>204</v>
      </c>
      <c r="B39" s="101">
        <f>1-B35*loop_gain!B18</f>
        <v>0.79</v>
      </c>
    </row>
    <row r="40" spans="1:3" x14ac:dyDescent="0.25">
      <c r="A40" t="s">
        <v>205</v>
      </c>
      <c r="B40" s="101">
        <f>B36/(B36+B35)</f>
        <v>0.9859154929577465</v>
      </c>
    </row>
    <row r="43" spans="1:3" x14ac:dyDescent="0.25">
      <c r="A43" t="s">
        <v>206</v>
      </c>
      <c r="B43" s="102">
        <f>((Main!B19+Main!B20*(Main!B55/1000+Helper_calcs!B31))/Helper_calcs!B38)+Main!B20*(Helper_calcs!B30-Helper_calcs!B31)</f>
        <v>50.103809523809531</v>
      </c>
      <c r="C43" s="63">
        <f>IF(B43&gt;B28,B28,B43)</f>
        <v>32</v>
      </c>
    </row>
    <row r="44" spans="1:3" x14ac:dyDescent="0.25">
      <c r="A44" t="s">
        <v>209</v>
      </c>
      <c r="B44" s="102">
        <f>((Main!B19+Main!B20*(Main!B55/1000+Helper_calcs!B31))/B39)+Main!B20*(Helper_calcs!B30-Helper_calcs!B31)</f>
        <v>6.7287341772151903</v>
      </c>
      <c r="C44" s="63">
        <f>IF(B44&lt;B27,B27,B44)</f>
        <v>6.7287341772151903</v>
      </c>
    </row>
    <row r="45" spans="1:3" x14ac:dyDescent="0.25">
      <c r="A45" t="s">
        <v>210</v>
      </c>
      <c r="B45" s="102">
        <f>((Main!B19+Main!B20*(Main!B55/1000+Helper_calcs!B31))/B40)+Main!B20*(Helper_calcs!B30-Helper_calcs!B31)</f>
        <v>5.4075357142857143</v>
      </c>
      <c r="C45" s="63">
        <f>IF(B45&lt;B27,B27,B45)</f>
        <v>5.4075357142857143</v>
      </c>
    </row>
    <row r="49" spans="1:2" x14ac:dyDescent="0.25">
      <c r="A49" t="s">
        <v>228</v>
      </c>
      <c r="B49" s="130">
        <f>(Main!B18-Main!B19)*(Main!B19/Main!B18)/(Main!B21*1000*Main!B23*Helper_calcs!B10)</f>
        <v>1.0683760683760685E-6</v>
      </c>
    </row>
    <row r="50" spans="1:2" x14ac:dyDescent="0.25">
      <c r="A50" t="s">
        <v>229</v>
      </c>
      <c r="B50" s="130">
        <f>Main!B19/(2*Helper_calcs!B24)</f>
        <v>8.8841506751954508E-7</v>
      </c>
    </row>
    <row r="52" spans="1:2" x14ac:dyDescent="0.25">
      <c r="A52" t="s">
        <v>230</v>
      </c>
      <c r="B52" s="130">
        <f>IF(B49&lt;B50,B50,B49)</f>
        <v>1.0683760683760685E-6</v>
      </c>
    </row>
  </sheetData>
  <mergeCells count="1">
    <mergeCell ref="B6:B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D14" sqref="D14:D15"/>
    </sheetView>
  </sheetViews>
  <sheetFormatPr defaultRowHeight="15.75" x14ac:dyDescent="0.25"/>
  <sheetData/>
  <pageMargins left="0.7" right="0.7" top="0.75" bottom="0.75" header="0.3" footer="0.3"/>
  <drawing r:id="rId1"/>
  <legacyDrawing r:id="rId2"/>
  <oleObjects>
    <mc:AlternateContent xmlns:mc="http://schemas.openxmlformats.org/markup-compatibility/2006">
      <mc:Choice Requires="x14">
        <oleObject progId="Document" dvAspect="DVASPECT_ICON" shapeId="12294" r:id="rId3">
          <objectPr defaultSize="0" r:id="rId4">
            <anchor moveWithCells="1">
              <from>
                <xdr:col>1</xdr:col>
                <xdr:colOff>295275</xdr:colOff>
                <xdr:row>7</xdr:row>
                <xdr:rowOff>38100</xdr:rowOff>
              </from>
              <to>
                <xdr:col>2</xdr:col>
                <xdr:colOff>523875</xdr:colOff>
                <xdr:row>10</xdr:row>
                <xdr:rowOff>123825</xdr:rowOff>
              </to>
            </anchor>
          </objectPr>
        </oleObject>
      </mc:Choice>
      <mc:Fallback>
        <oleObject progId="Document" dvAspect="DVASPECT_ICON" shapeId="12294"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Insructions</vt:lpstr>
      <vt:lpstr>Main</vt:lpstr>
      <vt:lpstr>loop_gain</vt:lpstr>
      <vt:lpstr>FB_div</vt:lpstr>
      <vt:lpstr>cout_min_calc</vt:lpstr>
      <vt:lpstr>cout_calc</vt:lpstr>
      <vt:lpstr>EA_para</vt:lpstr>
      <vt:lpstr>Helper_calcs</vt:lpstr>
      <vt:lpstr>Notes</vt:lpstr>
      <vt:lpstr>Revision_history</vt:lpstr>
      <vt:lpstr>PFM_auto</vt:lpstr>
      <vt:lpstr>Freq_fold</vt:lpstr>
      <vt:lpstr>Current_limit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Stasi, Frank</dc:creator>
  <cp:lastModifiedBy>De Stasi, Frank</cp:lastModifiedBy>
  <dcterms:created xsi:type="dcterms:W3CDTF">2019-01-11T22:06:50Z</dcterms:created>
  <dcterms:modified xsi:type="dcterms:W3CDTF">2021-08-23T20:49:47Z</dcterms:modified>
</cp:coreProperties>
</file>